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1\01_2022_Прил. к Выписке\"/>
    </mc:Choice>
  </mc:AlternateContent>
  <xr:revisionPtr revIDLastSave="0" documentId="8_{6DA2D138-73E0-4572-B7F9-4296A6F8DF88}" xr6:coauthVersionLast="47" xr6:coauthVersionMax="47" xr10:uidLastSave="{00000000-0000-0000-0000-000000000000}"/>
  <bookViews>
    <workbookView xWindow="345" yWindow="600" windowWidth="28455" windowHeight="15600" activeTab="1" xr2:uid="{00000000-000D-0000-FFFF-FFFF00000000}"/>
  </bookViews>
  <sheets>
    <sheet name="по СМО" sheetId="4" r:id="rId1"/>
    <sheet name="свбаз расчет" sheetId="1" r:id="rId2"/>
  </sheets>
  <definedNames>
    <definedName name="_xlnm.Print_Titles" localSheetId="0">'по СМО'!$B:$C</definedName>
    <definedName name="_xlnm.Print_Titles" localSheetId="1">'свбаз расчет'!$B:$C</definedName>
    <definedName name="_xlnm.Print_Area" localSheetId="0">'по СМО'!$A$1:$U$26</definedName>
    <definedName name="_xlnm.Print_Area" localSheetId="1">'свбаз расчет'!$A$1:$AV$24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5" i="1" l="1"/>
  <c r="U17" i="1"/>
  <c r="U19" i="1"/>
  <c r="U20" i="1"/>
  <c r="T16" i="1"/>
  <c r="T18" i="1"/>
  <c r="U18" i="1" s="1"/>
  <c r="T21" i="1"/>
  <c r="U21" i="1" s="1"/>
  <c r="F16" i="1"/>
  <c r="G16" i="1" s="1"/>
  <c r="D16" i="4" s="1"/>
  <c r="F17" i="1"/>
  <c r="G17" i="1" s="1"/>
  <c r="F18" i="1"/>
  <c r="G18" i="1" s="1"/>
  <c r="F19" i="1"/>
  <c r="G19" i="1" s="1"/>
  <c r="F20" i="1"/>
  <c r="G20" i="1" s="1"/>
  <c r="F21" i="1"/>
  <c r="G21" i="1" s="1"/>
  <c r="AG18" i="1"/>
  <c r="AF18" i="1"/>
  <c r="AG17" i="1"/>
  <c r="AF17" i="1"/>
  <c r="AG16" i="1"/>
  <c r="AF16" i="1"/>
  <c r="AG14" i="1"/>
  <c r="AF14" i="1"/>
  <c r="F23" i="4"/>
  <c r="AG21" i="1"/>
  <c r="AG19" i="1"/>
  <c r="AI15" i="1"/>
  <c r="AI20" i="1"/>
  <c r="AL16" i="1"/>
  <c r="AM16" i="1" s="1"/>
  <c r="X16" i="1"/>
  <c r="Y16" i="1" s="1"/>
  <c r="J16" i="1"/>
  <c r="K16" i="1" s="1"/>
  <c r="U16" i="1" l="1"/>
  <c r="I16" i="4" s="1"/>
  <c r="AH16" i="1"/>
  <c r="AI16" i="1" s="1"/>
  <c r="N16" i="4" s="1"/>
  <c r="G24" i="4"/>
  <c r="H24" i="4"/>
  <c r="AH17" i="1"/>
  <c r="AI17" i="1" s="1"/>
  <c r="AT16" i="1"/>
  <c r="T14" i="1"/>
  <c r="U14" i="1" s="1"/>
  <c r="R23" i="4" l="1"/>
  <c r="N15" i="4" l="1"/>
  <c r="N17" i="4"/>
  <c r="N20" i="4"/>
  <c r="I15" i="4"/>
  <c r="I17" i="4"/>
  <c r="I18" i="4"/>
  <c r="I19" i="4"/>
  <c r="I20" i="4"/>
  <c r="I21" i="4"/>
  <c r="I14" i="4"/>
  <c r="D20" i="4"/>
  <c r="D19" i="4"/>
  <c r="Q23" i="4" l="1"/>
  <c r="P23" i="4"/>
  <c r="M23" i="4"/>
  <c r="L23" i="4"/>
  <c r="K23" i="4"/>
  <c r="L24" i="4" l="1"/>
  <c r="Q24" i="4"/>
  <c r="R24" i="4"/>
  <c r="M24" i="4"/>
  <c r="I22" i="4"/>
  <c r="P24" i="4" l="1"/>
  <c r="K24" i="4"/>
  <c r="F24" i="4"/>
  <c r="AJ22" i="1"/>
  <c r="V22" i="1"/>
  <c r="W16" i="1" s="1"/>
  <c r="U22" i="1"/>
  <c r="H22" i="1"/>
  <c r="I16" i="1" s="1"/>
  <c r="AL21" i="1"/>
  <c r="AM21" i="1" s="1"/>
  <c r="X21" i="1"/>
  <c r="Y21" i="1" s="1"/>
  <c r="J21" i="1"/>
  <c r="K21" i="1" s="1"/>
  <c r="D21" i="4"/>
  <c r="AL20" i="1"/>
  <c r="AM20" i="1" s="1"/>
  <c r="X20" i="1"/>
  <c r="Y20" i="1" s="1"/>
  <c r="J20" i="1"/>
  <c r="K20" i="1" s="1"/>
  <c r="AL19" i="1"/>
  <c r="AM19" i="1" s="1"/>
  <c r="X19" i="1"/>
  <c r="Y19" i="1" s="1"/>
  <c r="J19" i="1"/>
  <c r="K19" i="1" s="1"/>
  <c r="AL18" i="1"/>
  <c r="AM18" i="1" s="1"/>
  <c r="X18" i="1"/>
  <c r="Y18" i="1" s="1"/>
  <c r="J18" i="1"/>
  <c r="K18" i="1" s="1"/>
  <c r="D18" i="4"/>
  <c r="AL17" i="1"/>
  <c r="AM17" i="1" s="1"/>
  <c r="X17" i="1"/>
  <c r="Y17" i="1" s="1"/>
  <c r="J17" i="1"/>
  <c r="K17" i="1" s="1"/>
  <c r="D17" i="4"/>
  <c r="AL15" i="1"/>
  <c r="AM15" i="1" s="1"/>
  <c r="X15" i="1"/>
  <c r="Y15" i="1" s="1"/>
  <c r="J15" i="1"/>
  <c r="K15" i="1" s="1"/>
  <c r="F15" i="1"/>
  <c r="AL14" i="1"/>
  <c r="AM14" i="1" s="1"/>
  <c r="X14" i="1"/>
  <c r="S22" i="1"/>
  <c r="J14" i="1"/>
  <c r="K14" i="1" s="1"/>
  <c r="E22" i="1"/>
  <c r="D22" i="1"/>
  <c r="G15" i="1" l="1"/>
  <c r="D15" i="4" s="1"/>
  <c r="L16" i="1"/>
  <c r="AK20" i="1"/>
  <c r="AN20" i="1" s="1"/>
  <c r="AK16" i="1"/>
  <c r="Z16" i="1"/>
  <c r="I20" i="1"/>
  <c r="I15" i="1"/>
  <c r="L15" i="1" s="1"/>
  <c r="I21" i="1"/>
  <c r="L21" i="1" s="1"/>
  <c r="I18" i="1"/>
  <c r="L18" i="1" s="1"/>
  <c r="I14" i="1"/>
  <c r="I17" i="1"/>
  <c r="L17" i="1" s="1"/>
  <c r="I19" i="1"/>
  <c r="W18" i="1"/>
  <c r="Z18" i="1" s="1"/>
  <c r="W14" i="1"/>
  <c r="Z14" i="1" s="1"/>
  <c r="AT21" i="1"/>
  <c r="AL22" i="1"/>
  <c r="AM23" i="1" s="1"/>
  <c r="W15" i="1"/>
  <c r="Z15" i="1" s="1"/>
  <c r="W17" i="1"/>
  <c r="Z17" i="1" s="1"/>
  <c r="W19" i="1"/>
  <c r="Z19" i="1" s="1"/>
  <c r="W20" i="1"/>
  <c r="Z20" i="1" s="1"/>
  <c r="W21" i="1"/>
  <c r="Z21" i="1" s="1"/>
  <c r="AH21" i="1"/>
  <c r="AI21" i="1" s="1"/>
  <c r="N21" i="4" s="1"/>
  <c r="AT15" i="1"/>
  <c r="AH18" i="1"/>
  <c r="AI18" i="1" s="1"/>
  <c r="N18" i="4" s="1"/>
  <c r="AT20" i="1"/>
  <c r="X22" i="1"/>
  <c r="Y23" i="1" s="1"/>
  <c r="AH19" i="1"/>
  <c r="AI19" i="1" s="1"/>
  <c r="N19" i="4" s="1"/>
  <c r="AT19" i="1"/>
  <c r="J22" i="1"/>
  <c r="K23" i="1" s="1"/>
  <c r="AM22" i="1"/>
  <c r="AK18" i="1"/>
  <c r="K22" i="1"/>
  <c r="AT17" i="1"/>
  <c r="AK17" i="1"/>
  <c r="AK21" i="1"/>
  <c r="AK14" i="1"/>
  <c r="AK19" i="1"/>
  <c r="AK15" i="1"/>
  <c r="F22" i="1"/>
  <c r="AF22" i="1"/>
  <c r="AT18" i="1"/>
  <c r="F14" i="1"/>
  <c r="G14" i="1" s="1"/>
  <c r="R22" i="1"/>
  <c r="T22" i="1" s="1"/>
  <c r="Y14" i="1"/>
  <c r="Y22" i="1" s="1"/>
  <c r="D14" i="4" l="1"/>
  <c r="D22" i="4" s="1"/>
  <c r="G22" i="1"/>
  <c r="Q23" i="1" s="1"/>
  <c r="L14" i="1"/>
  <c r="L22" i="1" s="1"/>
  <c r="AT14" i="1"/>
  <c r="AT22" i="1" s="1"/>
  <c r="AN16" i="1"/>
  <c r="I22" i="1"/>
  <c r="W22" i="1"/>
  <c r="AN21" i="1"/>
  <c r="AN18" i="1"/>
  <c r="AN15" i="1"/>
  <c r="AN19" i="1"/>
  <c r="AG22" i="1"/>
  <c r="AH22" i="1" s="1"/>
  <c r="AH14" i="1"/>
  <c r="AI14" i="1" s="1"/>
  <c r="AN14" i="1" s="1"/>
  <c r="AN17" i="1"/>
  <c r="AK22" i="1"/>
  <c r="Z22" i="1"/>
  <c r="Z23" i="1" s="1"/>
  <c r="AE23" i="1"/>
  <c r="AB14" i="1"/>
  <c r="N14" i="1" l="1"/>
  <c r="N14" i="4"/>
  <c r="N22" i="4" s="1"/>
  <c r="AI22" i="1"/>
  <c r="L23" i="1"/>
  <c r="AN22" i="1"/>
  <c r="AA16" i="1"/>
  <c r="AD16" i="1"/>
  <c r="AA20" i="1"/>
  <c r="AE20" i="1" s="1"/>
  <c r="J20" i="4" s="1"/>
  <c r="AB23" i="1"/>
  <c r="AA19" i="1"/>
  <c r="AE19" i="1" s="1"/>
  <c r="J19" i="4" s="1"/>
  <c r="AD17" i="1"/>
  <c r="AD21" i="1"/>
  <c r="AD18" i="1"/>
  <c r="AD15" i="1"/>
  <c r="AD19" i="1"/>
  <c r="AD20" i="1"/>
  <c r="AA21" i="1"/>
  <c r="AE21" i="1" s="1"/>
  <c r="AA17" i="1"/>
  <c r="AE17" i="1" s="1"/>
  <c r="J17" i="4" s="1"/>
  <c r="AA18" i="1"/>
  <c r="AA15" i="1"/>
  <c r="AE15" i="1" s="1"/>
  <c r="J15" i="4" s="1"/>
  <c r="AA14" i="1"/>
  <c r="AD14" i="1"/>
  <c r="AE14" i="1" l="1"/>
  <c r="J14" i="4" s="1"/>
  <c r="AE18" i="1"/>
  <c r="J18" i="4" s="1"/>
  <c r="L18" i="4" s="1"/>
  <c r="AE16" i="1"/>
  <c r="J16" i="4" s="1"/>
  <c r="J21" i="4"/>
  <c r="M15" i="1"/>
  <c r="O14" i="1"/>
  <c r="AP14" i="1"/>
  <c r="AS23" i="1"/>
  <c r="O21" i="1"/>
  <c r="M19" i="1"/>
  <c r="O18" i="1"/>
  <c r="O20" i="1"/>
  <c r="M16" i="1"/>
  <c r="M18" i="1"/>
  <c r="O15" i="1"/>
  <c r="O17" i="1"/>
  <c r="N23" i="1"/>
  <c r="M17" i="1"/>
  <c r="O16" i="1"/>
  <c r="M20" i="1"/>
  <c r="O19" i="1"/>
  <c r="M14" i="1"/>
  <c r="M21" i="1"/>
  <c r="AD22" i="1"/>
  <c r="L16" i="4" l="1"/>
  <c r="M16" i="4"/>
  <c r="AE22" i="1"/>
  <c r="O22" i="1"/>
  <c r="P23" i="1" s="1"/>
  <c r="M18" i="4"/>
  <c r="K18" i="4" s="1"/>
  <c r="M21" i="4"/>
  <c r="L21" i="4"/>
  <c r="M15" i="4"/>
  <c r="L15" i="4"/>
  <c r="M17" i="4"/>
  <c r="L17" i="4"/>
  <c r="M14" i="4"/>
  <c r="J22" i="4"/>
  <c r="L14" i="4"/>
  <c r="M19" i="4"/>
  <c r="L19" i="4"/>
  <c r="L20" i="4"/>
  <c r="M20" i="4"/>
  <c r="K16" i="4" l="1"/>
  <c r="P21" i="1"/>
  <c r="P15" i="1"/>
  <c r="Q15" i="1" s="1"/>
  <c r="P19" i="1"/>
  <c r="P17" i="1"/>
  <c r="Q17" i="1" s="1"/>
  <c r="P16" i="1"/>
  <c r="P14" i="1"/>
  <c r="Q14" i="1" s="1"/>
  <c r="P18" i="1"/>
  <c r="Q18" i="1" s="1"/>
  <c r="P20" i="1"/>
  <c r="K17" i="4"/>
  <c r="K21" i="4"/>
  <c r="K14" i="4"/>
  <c r="K19" i="4"/>
  <c r="K15" i="4"/>
  <c r="K20" i="4"/>
  <c r="M22" i="4"/>
  <c r="L22" i="4"/>
  <c r="Q19" i="1" l="1"/>
  <c r="E19" i="4" s="1"/>
  <c r="Q16" i="1"/>
  <c r="E16" i="4" s="1"/>
  <c r="Q20" i="1"/>
  <c r="E20" i="4" s="1"/>
  <c r="Q21" i="1"/>
  <c r="E21" i="4" s="1"/>
  <c r="E17" i="4"/>
  <c r="E18" i="4"/>
  <c r="E14" i="4"/>
  <c r="K22" i="4"/>
  <c r="AN23" i="1"/>
  <c r="AP23" i="1" s="1"/>
  <c r="G21" i="4" l="1"/>
  <c r="H21" i="4"/>
  <c r="H16" i="4"/>
  <c r="G16" i="4"/>
  <c r="G20" i="4"/>
  <c r="H20" i="4"/>
  <c r="F20" i="4" s="1"/>
  <c r="G19" i="4"/>
  <c r="H19" i="4"/>
  <c r="Q22" i="1"/>
  <c r="H18" i="4"/>
  <c r="G18" i="4"/>
  <c r="G17" i="4"/>
  <c r="H17" i="4"/>
  <c r="E15" i="4"/>
  <c r="H15" i="4" s="1"/>
  <c r="H14" i="4"/>
  <c r="G14" i="4"/>
  <c r="AR20" i="1"/>
  <c r="AR21" i="1"/>
  <c r="AR14" i="1"/>
  <c r="AR18" i="1"/>
  <c r="AO15" i="1"/>
  <c r="AS15" i="1" s="1"/>
  <c r="AO18" i="1"/>
  <c r="AS18" i="1" s="1"/>
  <c r="AO16" i="1"/>
  <c r="AS16" i="1" s="1"/>
  <c r="AO21" i="1"/>
  <c r="AS21" i="1" s="1"/>
  <c r="AO20" i="1"/>
  <c r="AS20" i="1" s="1"/>
  <c r="AR17" i="1"/>
  <c r="AO14" i="1"/>
  <c r="AS14" i="1" s="1"/>
  <c r="AR15" i="1"/>
  <c r="AO19" i="1"/>
  <c r="AS19" i="1" s="1"/>
  <c r="AO17" i="1"/>
  <c r="AS17" i="1" s="1"/>
  <c r="AR19" i="1"/>
  <c r="AR16" i="1"/>
  <c r="F21" i="4" l="1"/>
  <c r="F19" i="4"/>
  <c r="F16" i="4"/>
  <c r="F18" i="4"/>
  <c r="F17" i="4"/>
  <c r="H22" i="4"/>
  <c r="G15" i="4"/>
  <c r="E22" i="4"/>
  <c r="F14" i="4"/>
  <c r="O15" i="4"/>
  <c r="AU15" i="1"/>
  <c r="AV15" i="1" s="1"/>
  <c r="O20" i="4"/>
  <c r="Q20" i="4" s="1"/>
  <c r="AU20" i="1"/>
  <c r="AV20" i="1" s="1"/>
  <c r="O18" i="4"/>
  <c r="AU18" i="1"/>
  <c r="AV18" i="1" s="1"/>
  <c r="O21" i="4"/>
  <c r="AU21" i="1"/>
  <c r="AV21" i="1" s="1"/>
  <c r="O17" i="4"/>
  <c r="AU17" i="1"/>
  <c r="AV17" i="1" s="1"/>
  <c r="O19" i="4"/>
  <c r="AU19" i="1"/>
  <c r="AV19" i="1" s="1"/>
  <c r="O16" i="4"/>
  <c r="AU16" i="1"/>
  <c r="AV16" i="1" s="1"/>
  <c r="AR22" i="1"/>
  <c r="F15" i="4" l="1"/>
  <c r="F22" i="4" s="1"/>
  <c r="G22" i="4"/>
  <c r="O14" i="4"/>
  <c r="Q14" i="4" s="1"/>
  <c r="AU14" i="1"/>
  <c r="AU22" i="1" s="1"/>
  <c r="AV22" i="1" s="1"/>
  <c r="AS22" i="1"/>
  <c r="R16" i="4"/>
  <c r="U16" i="4" s="1"/>
  <c r="Q16" i="4"/>
  <c r="R20" i="4"/>
  <c r="Q19" i="4"/>
  <c r="R19" i="4"/>
  <c r="U19" i="4" s="1"/>
  <c r="Q15" i="4"/>
  <c r="R15" i="4"/>
  <c r="U15" i="4" s="1"/>
  <c r="R17" i="4"/>
  <c r="U17" i="4" s="1"/>
  <c r="Q17" i="4"/>
  <c r="R21" i="4"/>
  <c r="U21" i="4" s="1"/>
  <c r="Q21" i="4"/>
  <c r="R18" i="4"/>
  <c r="U18" i="4" s="1"/>
  <c r="Q18" i="4"/>
  <c r="O22" i="4" l="1"/>
  <c r="R14" i="4"/>
  <c r="P14" i="4" s="1"/>
  <c r="AV14" i="1"/>
  <c r="P15" i="4"/>
  <c r="P18" i="4"/>
  <c r="P16" i="4"/>
  <c r="P17" i="4"/>
  <c r="P21" i="4"/>
  <c r="P19" i="4"/>
  <c r="U20" i="4"/>
  <c r="P20" i="4"/>
  <c r="T14" i="4"/>
  <c r="Q22" i="4"/>
  <c r="T23" i="4" s="1"/>
  <c r="T20" i="4"/>
  <c r="T21" i="4"/>
  <c r="S21" i="4" s="1"/>
  <c r="T17" i="4"/>
  <c r="S17" i="4" s="1"/>
  <c r="T18" i="4"/>
  <c r="S18" i="4" s="1"/>
  <c r="T19" i="4"/>
  <c r="S19" i="4" s="1"/>
  <c r="T16" i="4"/>
  <c r="S16" i="4" s="1"/>
  <c r="T15" i="4"/>
  <c r="S15" i="4" s="1"/>
  <c r="R22" i="4" l="1"/>
  <c r="U23" i="4" s="1"/>
  <c r="S24" i="4" s="1"/>
  <c r="U14" i="4"/>
  <c r="S14" i="4" s="1"/>
  <c r="P22" i="4"/>
  <c r="S23" i="4" s="1"/>
  <c r="S20" i="4"/>
  <c r="T22" i="4"/>
  <c r="U22" i="4" l="1"/>
  <c r="S2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Толстых Мария Александровна</author>
  </authors>
  <commentList>
    <comment ref="D19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Толстых Мария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1/4 от плана, т.к. в прошлом году мп не оказывалась.</t>
        </r>
      </text>
    </comment>
  </commentList>
</comments>
</file>

<file path=xl/sharedStrings.xml><?xml version="1.0" encoding="utf-8"?>
<sst xmlns="http://schemas.openxmlformats.org/spreadsheetml/2006/main" count="113" uniqueCount="55">
  <si>
    <t>Сверхбазовая программа ОМС</t>
  </si>
  <si>
    <t>№ п/п</t>
  </si>
  <si>
    <t>Наименование МО</t>
  </si>
  <si>
    <t>Стационар</t>
  </si>
  <si>
    <t>Дневной стационар</t>
  </si>
  <si>
    <t>Поликлиника</t>
  </si>
  <si>
    <t>кол-во баллов</t>
  </si>
  <si>
    <t>Доля</t>
  </si>
  <si>
    <t>1% - Резерв в год</t>
  </si>
  <si>
    <t>Средневзвешанное значение баллов (СрБi)</t>
  </si>
  <si>
    <t>Расчетный коэффициент для МО    (К мо.)</t>
  </si>
  <si>
    <t>Ст-ть 1 балла</t>
  </si>
  <si>
    <t>Поправочный коэффициент (Кп.)</t>
  </si>
  <si>
    <t>% выполнения</t>
  </si>
  <si>
    <t>Итого</t>
  </si>
  <si>
    <t>84,9 % и менее - 0 баллов, от 85 % - 90 % - 1 балл, более 90,1 % - 2 балла</t>
  </si>
  <si>
    <t>объем фин. ср.</t>
  </si>
  <si>
    <t>Кол-во баллов</t>
  </si>
  <si>
    <t>в том числе по СМО</t>
  </si>
  <si>
    <t>СОГАЗ</t>
  </si>
  <si>
    <t>Капитал</t>
  </si>
  <si>
    <t>Поликлиника (в посещениях)</t>
  </si>
  <si>
    <t>Выполненные объемы (случ. госпит.)</t>
  </si>
  <si>
    <t xml:space="preserve">Размер стимулирующих выплат по итогам 1 квартала  (СВ) </t>
  </si>
  <si>
    <t>Выполненные объемы</t>
  </si>
  <si>
    <t xml:space="preserve">ГБУЗ "Психиатрическая больница Калининградской области № 1" </t>
  </si>
  <si>
    <t xml:space="preserve">ГБУЗ "Психиатрическая больница Калининградской области № 2" </t>
  </si>
  <si>
    <t xml:space="preserve">ГБУЗ "Противотуберкулезный диспансер Калининградской области" </t>
  </si>
  <si>
    <t xml:space="preserve">ГБУЗ КО "Советский противотуберкулезный диспансер " </t>
  </si>
  <si>
    <t xml:space="preserve">ГБУЗ "Наркологический диспансер Калининградской области" </t>
  </si>
  <si>
    <t xml:space="preserve">ГБУЗ "Инфекционная больница Калининградской области" </t>
  </si>
  <si>
    <t>ГБУЗ КО "Черняховская инфекционная больница"</t>
  </si>
  <si>
    <t>ГБУЗ КО "Центр специализированных видов медицинской помощи"</t>
  </si>
  <si>
    <t xml:space="preserve">Отклонение стимулирующие выплаты к резерву 1 % </t>
  </si>
  <si>
    <t>ПК</t>
  </si>
  <si>
    <t>окт-дек. 2020</t>
  </si>
  <si>
    <t>окт-дек. 2021</t>
  </si>
  <si>
    <t>окт- дек. 2020</t>
  </si>
  <si>
    <t>окт-дек.  2021</t>
  </si>
  <si>
    <t>1% - Резерв 4 квартал</t>
  </si>
  <si>
    <t xml:space="preserve">Размер стимулирующих выплат по итогам 4 квартала  (СВ) </t>
  </si>
  <si>
    <t>Размер стимулирующих выплат по итогам  4 квартала</t>
  </si>
  <si>
    <t xml:space="preserve">Размер стимулирующих выплат по итогам 4 квартала  </t>
  </si>
  <si>
    <t>1% - Резерв 4 квартал запланированно раздать</t>
  </si>
  <si>
    <t>Итого стимулирующие выплаты за 4 квартал 2021 года</t>
  </si>
  <si>
    <r>
      <t xml:space="preserve">Выплаты стимулирующего характера в разрезе страховых медицинских организаций  по достигнутым целевым показателям результативности медицинских организаций, финансируемых по подушевому нормативу при реализации территориальной программы ОМС Калининградской области </t>
    </r>
    <r>
      <rPr>
        <b/>
        <sz val="14"/>
        <color theme="1"/>
        <rFont val="Times New Roman"/>
        <family val="1"/>
        <charset val="204"/>
      </rPr>
      <t>за 4 квартал 2021 года</t>
    </r>
  </si>
  <si>
    <t xml:space="preserve">Размер стимулирующих выплат по итогам 4 квартала (СВ) всего </t>
  </si>
  <si>
    <t xml:space="preserve">Приложение № 2 </t>
  </si>
  <si>
    <t>Комиссии от 31.01.2022 года</t>
  </si>
  <si>
    <t xml:space="preserve">к Выписке из Протокола заседания № 10 </t>
  </si>
  <si>
    <t>Часть 1</t>
  </si>
  <si>
    <t>Приложение № 2</t>
  </si>
  <si>
    <t xml:space="preserve">к Выписке из протокола заседания № 1 </t>
  </si>
  <si>
    <t xml:space="preserve">Часть 2 </t>
  </si>
  <si>
    <t>Расчет выплат стимулирующего характера при достигнутых целевых показателях результативности медицинских организаций, финансируемых по подушевому нормативу при реализации территориальной программы ОМС Калининградской области за 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</si>
</sst>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000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3" fillId="0" borderId="0" xfId="0" applyFont="1"/>
    <xf numFmtId="3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3" fontId="3" fillId="4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165" fontId="3" fillId="4" borderId="7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3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4" fontId="9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3" fontId="7" fillId="0" borderId="5" xfId="0" applyNumberFormat="1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4" fontId="1" fillId="0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3" fontId="3" fillId="4" borderId="5" xfId="0" applyNumberFormat="1" applyFont="1" applyFill="1" applyBorder="1" applyAlignment="1">
      <alignment horizontal="center" vertical="center"/>
    </xf>
    <xf numFmtId="3" fontId="3" fillId="4" borderId="6" xfId="0" applyNumberFormat="1" applyFont="1" applyFill="1" applyBorder="1" applyAlignment="1">
      <alignment horizontal="center" vertical="center"/>
    </xf>
    <xf numFmtId="3" fontId="3" fillId="4" borderId="7" xfId="0" applyNumberFormat="1" applyFont="1" applyFill="1" applyBorder="1" applyAlignment="1">
      <alignment horizontal="center" vertical="center"/>
    </xf>
    <xf numFmtId="3" fontId="3" fillId="3" borderId="5" xfId="0" applyNumberFormat="1" applyFont="1" applyFill="1" applyBorder="1" applyAlignment="1">
      <alignment horizontal="center" vertical="center"/>
    </xf>
    <xf numFmtId="3" fontId="3" fillId="3" borderId="6" xfId="0" applyNumberFormat="1" applyFont="1" applyFill="1" applyBorder="1" applyAlignment="1">
      <alignment horizontal="center" vertical="center"/>
    </xf>
    <xf numFmtId="3" fontId="3" fillId="3" borderId="7" xfId="0" applyNumberFormat="1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5" fontId="7" fillId="4" borderId="2" xfId="0" applyNumberFormat="1" applyFont="1" applyFill="1" applyBorder="1" applyAlignment="1">
      <alignment horizontal="center" vertical="center" wrapText="1"/>
    </xf>
    <xf numFmtId="165" fontId="7" fillId="4" borderId="4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164" fontId="5" fillId="4" borderId="2" xfId="0" applyNumberFormat="1" applyFont="1" applyFill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textRotation="90"/>
    </xf>
    <xf numFmtId="4" fontId="2" fillId="3" borderId="1" xfId="0" applyNumberFormat="1" applyFont="1" applyFill="1" applyBorder="1" applyAlignment="1">
      <alignment horizontal="center" vertical="center" textRotation="90"/>
    </xf>
    <xf numFmtId="4" fontId="2" fillId="2" borderId="1" xfId="0" applyNumberFormat="1" applyFont="1" applyFill="1" applyBorder="1" applyAlignment="1">
      <alignment horizontal="center" vertical="center" textRotation="90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right" vertical="center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FF"/>
  </sheetPr>
  <dimension ref="A2:Z26"/>
  <sheetViews>
    <sheetView view="pageBreakPreview" topLeftCell="A2" zoomScaleNormal="100" zoomScaleSheetLayoutView="100" workbookViewId="0">
      <pane xSplit="3" ySplit="7" topLeftCell="D9" activePane="bottomRight" state="frozen"/>
      <selection activeCell="A2" sqref="A2"/>
      <selection pane="topRight" activeCell="E2" sqref="E2"/>
      <selection pane="bottomLeft" activeCell="A3" sqref="A3"/>
      <selection pane="bottomRight" activeCell="B2" sqref="B2:U26"/>
    </sheetView>
  </sheetViews>
  <sheetFormatPr defaultColWidth="8.85546875" defaultRowHeight="15" x14ac:dyDescent="0.25"/>
  <cols>
    <col min="1" max="1" width="0.7109375" style="1" hidden="1" customWidth="1"/>
    <col min="2" max="2" width="5.42578125" style="58" customWidth="1"/>
    <col min="3" max="3" width="31.7109375" style="59" customWidth="1"/>
    <col min="4" max="4" width="8.42578125" style="60" customWidth="1"/>
    <col min="5" max="5" width="22.85546875" style="61" hidden="1" customWidth="1"/>
    <col min="6" max="6" width="14.140625" style="61" customWidth="1"/>
    <col min="7" max="7" width="14.28515625" style="61" customWidth="1"/>
    <col min="8" max="8" width="11.7109375" style="61" customWidth="1"/>
    <col min="9" max="9" width="8.5703125" style="60" customWidth="1"/>
    <col min="10" max="10" width="12.140625" style="61" hidden="1" customWidth="1"/>
    <col min="11" max="11" width="11.42578125" style="61" customWidth="1"/>
    <col min="12" max="12" width="11" style="61" customWidth="1"/>
    <col min="13" max="13" width="11.85546875" style="61" customWidth="1"/>
    <col min="14" max="14" width="8.7109375" style="60" customWidth="1"/>
    <col min="15" max="15" width="13.85546875" style="61" hidden="1" customWidth="1"/>
    <col min="16" max="16" width="12.7109375" style="61" customWidth="1"/>
    <col min="17" max="17" width="11.7109375" style="61" customWidth="1"/>
    <col min="18" max="18" width="22.42578125" style="61" customWidth="1"/>
    <col min="19" max="19" width="13.7109375" style="62" customWidth="1"/>
    <col min="20" max="20" width="29.28515625" style="62" customWidth="1"/>
    <col min="21" max="21" width="31.28515625" style="62" customWidth="1"/>
    <col min="22" max="22" width="8.85546875" style="2"/>
    <col min="23" max="23" width="11.7109375" style="6" bestFit="1" customWidth="1"/>
    <col min="24" max="24" width="11.85546875" style="6" customWidth="1"/>
    <col min="25" max="25" width="11.7109375" style="6" customWidth="1"/>
    <col min="26" max="26" width="10.140625" style="6" bestFit="1" customWidth="1"/>
    <col min="27" max="16384" width="8.85546875" style="1"/>
  </cols>
  <sheetData>
    <row r="2" spans="2:26" ht="18.75" x14ac:dyDescent="0.25">
      <c r="S2" s="90" t="s">
        <v>47</v>
      </c>
      <c r="T2" s="90"/>
      <c r="U2" s="90"/>
    </row>
    <row r="3" spans="2:26" ht="18.75" x14ac:dyDescent="0.25">
      <c r="S3" s="90" t="s">
        <v>49</v>
      </c>
      <c r="T3" s="90"/>
      <c r="U3" s="90"/>
    </row>
    <row r="4" spans="2:26" ht="18.75" x14ac:dyDescent="0.25">
      <c r="S4" s="90" t="s">
        <v>48</v>
      </c>
      <c r="T4" s="90"/>
      <c r="U4" s="90"/>
    </row>
    <row r="6" spans="2:26" ht="18.75" x14ac:dyDescent="0.25">
      <c r="T6" s="91" t="s">
        <v>50</v>
      </c>
      <c r="U6" s="91"/>
    </row>
    <row r="7" spans="2:26" ht="18.75" x14ac:dyDescent="0.25">
      <c r="T7" s="70"/>
      <c r="U7" s="70"/>
    </row>
    <row r="8" spans="2:26" ht="40.15" customHeight="1" x14ac:dyDescent="0.25">
      <c r="B8" s="92" t="s">
        <v>45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</row>
    <row r="10" spans="2:26" ht="15" customHeight="1" x14ac:dyDescent="0.25">
      <c r="B10" s="89" t="s">
        <v>0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</row>
    <row r="11" spans="2:26" s="15" customFormat="1" ht="24" customHeight="1" x14ac:dyDescent="0.2">
      <c r="B11" s="77" t="s">
        <v>1</v>
      </c>
      <c r="C11" s="77" t="s">
        <v>2</v>
      </c>
      <c r="D11" s="81" t="s">
        <v>3</v>
      </c>
      <c r="E11" s="82"/>
      <c r="F11" s="82"/>
      <c r="G11" s="82"/>
      <c r="H11" s="82"/>
      <c r="I11" s="81" t="s">
        <v>4</v>
      </c>
      <c r="J11" s="82"/>
      <c r="K11" s="82"/>
      <c r="L11" s="82"/>
      <c r="M11" s="82"/>
      <c r="N11" s="81" t="s">
        <v>5</v>
      </c>
      <c r="O11" s="82"/>
      <c r="P11" s="82"/>
      <c r="Q11" s="82"/>
      <c r="R11" s="82"/>
      <c r="S11" s="78" t="s">
        <v>14</v>
      </c>
      <c r="T11" s="78"/>
      <c r="U11" s="78"/>
      <c r="V11" s="48"/>
      <c r="W11" s="7"/>
      <c r="X11" s="7"/>
      <c r="Y11" s="7"/>
      <c r="Z11" s="7"/>
    </row>
    <row r="12" spans="2:26" s="14" customFormat="1" ht="33" customHeight="1" x14ac:dyDescent="0.25">
      <c r="B12" s="77"/>
      <c r="C12" s="77"/>
      <c r="D12" s="85" t="s">
        <v>17</v>
      </c>
      <c r="E12" s="79" t="s">
        <v>46</v>
      </c>
      <c r="F12" s="79" t="s">
        <v>46</v>
      </c>
      <c r="G12" s="75" t="s">
        <v>18</v>
      </c>
      <c r="H12" s="75"/>
      <c r="I12" s="76" t="s">
        <v>17</v>
      </c>
      <c r="J12" s="75" t="s">
        <v>40</v>
      </c>
      <c r="K12" s="75" t="s">
        <v>40</v>
      </c>
      <c r="L12" s="75" t="s">
        <v>18</v>
      </c>
      <c r="M12" s="75"/>
      <c r="N12" s="85" t="s">
        <v>17</v>
      </c>
      <c r="O12" s="75" t="s">
        <v>23</v>
      </c>
      <c r="P12" s="75" t="s">
        <v>40</v>
      </c>
      <c r="Q12" s="75" t="s">
        <v>18</v>
      </c>
      <c r="R12" s="75"/>
      <c r="S12" s="87" t="s">
        <v>40</v>
      </c>
      <c r="T12" s="83" t="s">
        <v>18</v>
      </c>
      <c r="U12" s="84"/>
      <c r="V12" s="8"/>
      <c r="W12" s="49"/>
      <c r="X12" s="49"/>
      <c r="Y12" s="49"/>
      <c r="Z12" s="49"/>
    </row>
    <row r="13" spans="2:26" s="8" customFormat="1" ht="57" customHeight="1" x14ac:dyDescent="0.25">
      <c r="B13" s="77"/>
      <c r="C13" s="77"/>
      <c r="D13" s="86"/>
      <c r="E13" s="80"/>
      <c r="F13" s="80"/>
      <c r="G13" s="63" t="s">
        <v>19</v>
      </c>
      <c r="H13" s="63" t="s">
        <v>20</v>
      </c>
      <c r="I13" s="76"/>
      <c r="J13" s="75"/>
      <c r="K13" s="75"/>
      <c r="L13" s="63" t="s">
        <v>19</v>
      </c>
      <c r="M13" s="63" t="s">
        <v>20</v>
      </c>
      <c r="N13" s="86"/>
      <c r="O13" s="75"/>
      <c r="P13" s="75"/>
      <c r="Q13" s="63" t="s">
        <v>19</v>
      </c>
      <c r="R13" s="63" t="s">
        <v>20</v>
      </c>
      <c r="S13" s="88"/>
      <c r="T13" s="64" t="s">
        <v>19</v>
      </c>
      <c r="U13" s="64" t="s">
        <v>20</v>
      </c>
      <c r="W13" s="49"/>
      <c r="X13" s="49"/>
      <c r="Y13" s="49"/>
      <c r="Z13" s="49"/>
    </row>
    <row r="14" spans="2:26" ht="27.6" customHeight="1" x14ac:dyDescent="0.25">
      <c r="B14" s="65">
        <v>1</v>
      </c>
      <c r="C14" s="66" t="s">
        <v>25</v>
      </c>
      <c r="D14" s="67">
        <f>'свбаз расчет'!G14</f>
        <v>2</v>
      </c>
      <c r="E14" s="68">
        <f>'свбаз расчет'!Q14</f>
        <v>741689.17</v>
      </c>
      <c r="F14" s="68">
        <f>G14+H14</f>
        <v>741689.17</v>
      </c>
      <c r="G14" s="68">
        <f t="shared" ref="G14:G21" si="0">ROUND(E14*$G$24%,2)</f>
        <v>490108.2</v>
      </c>
      <c r="H14" s="68">
        <f>ROUND(E14*$H$24%,2)</f>
        <v>251580.97</v>
      </c>
      <c r="I14" s="67">
        <f>'свбаз расчет'!U14</f>
        <v>0</v>
      </c>
      <c r="J14" s="68">
        <f>'свбаз расчет'!AE14</f>
        <v>0</v>
      </c>
      <c r="K14" s="68">
        <f>L14+M14</f>
        <v>0</v>
      </c>
      <c r="L14" s="68">
        <f t="shared" ref="L14:L21" si="1">ROUND(J14*$L$24%,2)</f>
        <v>0</v>
      </c>
      <c r="M14" s="68">
        <f t="shared" ref="M14:M21" si="2">ROUND(J14*$M$24%,2)</f>
        <v>0</v>
      </c>
      <c r="N14" s="67">
        <f>'свбаз расчет'!AI14</f>
        <v>0</v>
      </c>
      <c r="O14" s="68">
        <f>'свбаз расчет'!AS14</f>
        <v>0</v>
      </c>
      <c r="P14" s="68">
        <f>Q14+R14</f>
        <v>0</v>
      </c>
      <c r="Q14" s="68">
        <f>ROUND(O14*$Q$24%,2)</f>
        <v>0</v>
      </c>
      <c r="R14" s="68">
        <f t="shared" ref="R14:R21" si="3">ROUND(O14*$R$24%,2)</f>
        <v>0</v>
      </c>
      <c r="S14" s="68">
        <f>T14+U14</f>
        <v>741689.17</v>
      </c>
      <c r="T14" s="68">
        <f t="shared" ref="T14:U21" si="4">G14+L14+Q14</f>
        <v>490108.2</v>
      </c>
      <c r="U14" s="68">
        <f t="shared" si="4"/>
        <v>251580.97</v>
      </c>
      <c r="V14" s="6"/>
    </row>
    <row r="15" spans="2:26" ht="45" x14ac:dyDescent="0.25">
      <c r="B15" s="65">
        <v>2</v>
      </c>
      <c r="C15" s="66" t="s">
        <v>26</v>
      </c>
      <c r="D15" s="67">
        <f>'свбаз расчет'!G15</f>
        <v>1</v>
      </c>
      <c r="E15" s="68">
        <f>'свбаз расчет'!Q15</f>
        <v>374353.72000000003</v>
      </c>
      <c r="F15" s="68">
        <f t="shared" ref="F15:F21" si="5">G15+H15</f>
        <v>374353.72</v>
      </c>
      <c r="G15" s="68">
        <f t="shared" si="0"/>
        <v>247372.94</v>
      </c>
      <c r="H15" s="68">
        <f>ROUND(E15*$H$24%,2)</f>
        <v>126980.78</v>
      </c>
      <c r="I15" s="67">
        <f>'свбаз расчет'!U15</f>
        <v>0</v>
      </c>
      <c r="J15" s="68">
        <f>'свбаз расчет'!AE15</f>
        <v>0</v>
      </c>
      <c r="K15" s="68">
        <f t="shared" ref="K15:K21" si="6">L15+M15</f>
        <v>0</v>
      </c>
      <c r="L15" s="68">
        <f t="shared" si="1"/>
        <v>0</v>
      </c>
      <c r="M15" s="68">
        <f t="shared" si="2"/>
        <v>0</v>
      </c>
      <c r="N15" s="67">
        <f>'свбаз расчет'!AI15</f>
        <v>0</v>
      </c>
      <c r="O15" s="68">
        <f>'свбаз расчет'!AS15</f>
        <v>0</v>
      </c>
      <c r="P15" s="68">
        <f t="shared" ref="P15:P21" si="7">Q15+R15</f>
        <v>0</v>
      </c>
      <c r="Q15" s="68">
        <f t="shared" ref="Q15:Q19" si="8">ROUND(O15*$Q$24%,2)</f>
        <v>0</v>
      </c>
      <c r="R15" s="68">
        <f t="shared" si="3"/>
        <v>0</v>
      </c>
      <c r="S15" s="68">
        <f t="shared" ref="S15:S21" si="9">T15+U15</f>
        <v>374353.72</v>
      </c>
      <c r="T15" s="68">
        <f t="shared" si="4"/>
        <v>247372.94</v>
      </c>
      <c r="U15" s="68">
        <f t="shared" si="4"/>
        <v>126980.78</v>
      </c>
      <c r="V15" s="6"/>
    </row>
    <row r="16" spans="2:26" ht="45" x14ac:dyDescent="0.25">
      <c r="B16" s="65">
        <v>3</v>
      </c>
      <c r="C16" s="66" t="s">
        <v>27</v>
      </c>
      <c r="D16" s="67">
        <f>'свбаз расчет'!G16</f>
        <v>2</v>
      </c>
      <c r="E16" s="68">
        <f>'свбаз расчет'!Q16</f>
        <v>657189.37</v>
      </c>
      <c r="F16" s="68">
        <f t="shared" si="5"/>
        <v>657189.37</v>
      </c>
      <c r="G16" s="68">
        <f t="shared" si="0"/>
        <v>434270.74</v>
      </c>
      <c r="H16" s="68">
        <f t="shared" ref="H16:H21" si="10">ROUND(E16*$H$24%,2)</f>
        <v>222918.63</v>
      </c>
      <c r="I16" s="67">
        <f>'свбаз расчет'!U16</f>
        <v>2</v>
      </c>
      <c r="J16" s="68">
        <f>'свбаз расчет'!AE16</f>
        <v>99129.57</v>
      </c>
      <c r="K16" s="68">
        <f t="shared" si="6"/>
        <v>99129.57</v>
      </c>
      <c r="L16" s="68">
        <f t="shared" si="1"/>
        <v>65504.82</v>
      </c>
      <c r="M16" s="68">
        <f t="shared" si="2"/>
        <v>33624.75</v>
      </c>
      <c r="N16" s="67">
        <f>'свбаз расчет'!AI16</f>
        <v>2</v>
      </c>
      <c r="O16" s="68">
        <f>'свбаз расчет'!AS16</f>
        <v>640657.17000000004</v>
      </c>
      <c r="P16" s="68">
        <f t="shared" si="7"/>
        <v>640657.17000000004</v>
      </c>
      <c r="Q16" s="68">
        <f t="shared" si="8"/>
        <v>423346.26</v>
      </c>
      <c r="R16" s="68">
        <f t="shared" si="3"/>
        <v>217310.91</v>
      </c>
      <c r="S16" s="68">
        <f t="shared" si="9"/>
        <v>1396976.11</v>
      </c>
      <c r="T16" s="68">
        <f t="shared" si="4"/>
        <v>923121.82000000007</v>
      </c>
      <c r="U16" s="68">
        <f t="shared" si="4"/>
        <v>473854.29000000004</v>
      </c>
      <c r="V16" s="6"/>
    </row>
    <row r="17" spans="2:22" ht="45" x14ac:dyDescent="0.25">
      <c r="B17" s="65">
        <v>4</v>
      </c>
      <c r="C17" s="66" t="s">
        <v>28</v>
      </c>
      <c r="D17" s="67">
        <f>'свбаз расчет'!G17</f>
        <v>0</v>
      </c>
      <c r="E17" s="68">
        <f>'свбаз расчет'!Q17</f>
        <v>0</v>
      </c>
      <c r="F17" s="68">
        <f t="shared" si="5"/>
        <v>0</v>
      </c>
      <c r="G17" s="68">
        <f t="shared" si="0"/>
        <v>0</v>
      </c>
      <c r="H17" s="68">
        <f t="shared" si="10"/>
        <v>0</v>
      </c>
      <c r="I17" s="67">
        <f>'свбаз расчет'!U17</f>
        <v>0</v>
      </c>
      <c r="J17" s="68">
        <f>'свбаз расчет'!AE17</f>
        <v>0</v>
      </c>
      <c r="K17" s="68">
        <f t="shared" si="6"/>
        <v>0</v>
      </c>
      <c r="L17" s="68">
        <f t="shared" si="1"/>
        <v>0</v>
      </c>
      <c r="M17" s="68">
        <f t="shared" si="2"/>
        <v>0</v>
      </c>
      <c r="N17" s="67">
        <f>'свбаз расчет'!AI17</f>
        <v>0</v>
      </c>
      <c r="O17" s="68">
        <f>'свбаз расчет'!AS17</f>
        <v>0</v>
      </c>
      <c r="P17" s="68">
        <f t="shared" si="7"/>
        <v>0</v>
      </c>
      <c r="Q17" s="68">
        <f t="shared" si="8"/>
        <v>0</v>
      </c>
      <c r="R17" s="68">
        <f t="shared" si="3"/>
        <v>0</v>
      </c>
      <c r="S17" s="68">
        <f t="shared" si="9"/>
        <v>0</v>
      </c>
      <c r="T17" s="68">
        <f t="shared" si="4"/>
        <v>0</v>
      </c>
      <c r="U17" s="68">
        <f t="shared" si="4"/>
        <v>0</v>
      </c>
      <c r="V17" s="6"/>
    </row>
    <row r="18" spans="2:22" ht="45" x14ac:dyDescent="0.25">
      <c r="B18" s="65">
        <v>5</v>
      </c>
      <c r="C18" s="66" t="s">
        <v>29</v>
      </c>
      <c r="D18" s="67">
        <f>'свбаз расчет'!G18</f>
        <v>1</v>
      </c>
      <c r="E18" s="68">
        <f>'свбаз расчет'!Q18</f>
        <v>170122.51</v>
      </c>
      <c r="F18" s="68">
        <f t="shared" si="5"/>
        <v>170122.51</v>
      </c>
      <c r="G18" s="68">
        <f t="shared" si="0"/>
        <v>112416.95</v>
      </c>
      <c r="H18" s="68">
        <f t="shared" si="10"/>
        <v>57705.56</v>
      </c>
      <c r="I18" s="67">
        <f>'свбаз расчет'!U18</f>
        <v>0</v>
      </c>
      <c r="J18" s="68">
        <f>'свбаз расчет'!AE18</f>
        <v>0</v>
      </c>
      <c r="K18" s="68">
        <f t="shared" si="6"/>
        <v>0</v>
      </c>
      <c r="L18" s="68">
        <f t="shared" si="1"/>
        <v>0</v>
      </c>
      <c r="M18" s="68">
        <f t="shared" si="2"/>
        <v>0</v>
      </c>
      <c r="N18" s="67">
        <f>'свбаз расчет'!AI18</f>
        <v>0</v>
      </c>
      <c r="O18" s="68">
        <f>'свбаз расчет'!AS18</f>
        <v>0</v>
      </c>
      <c r="P18" s="68">
        <f t="shared" si="7"/>
        <v>0</v>
      </c>
      <c r="Q18" s="68">
        <f t="shared" si="8"/>
        <v>0</v>
      </c>
      <c r="R18" s="68">
        <f t="shared" si="3"/>
        <v>0</v>
      </c>
      <c r="S18" s="68">
        <f t="shared" si="9"/>
        <v>170122.51</v>
      </c>
      <c r="T18" s="68">
        <f t="shared" si="4"/>
        <v>112416.95</v>
      </c>
      <c r="U18" s="68">
        <f t="shared" si="4"/>
        <v>57705.56</v>
      </c>
      <c r="V18" s="6"/>
    </row>
    <row r="19" spans="2:22" ht="30" x14ac:dyDescent="0.25">
      <c r="B19" s="65">
        <v>6</v>
      </c>
      <c r="C19" s="66" t="s">
        <v>30</v>
      </c>
      <c r="D19" s="67">
        <f>'свбаз расчет'!G19</f>
        <v>0</v>
      </c>
      <c r="E19" s="68">
        <f>'свбаз расчет'!Q19</f>
        <v>0</v>
      </c>
      <c r="F19" s="68">
        <f t="shared" si="5"/>
        <v>0</v>
      </c>
      <c r="G19" s="68">
        <f t="shared" si="0"/>
        <v>0</v>
      </c>
      <c r="H19" s="68">
        <f t="shared" si="10"/>
        <v>0</v>
      </c>
      <c r="I19" s="67">
        <f>'свбаз расчет'!U19</f>
        <v>0</v>
      </c>
      <c r="J19" s="68">
        <f>'свбаз расчет'!AE19</f>
        <v>0</v>
      </c>
      <c r="K19" s="68">
        <f t="shared" si="6"/>
        <v>0</v>
      </c>
      <c r="L19" s="68">
        <f t="shared" si="1"/>
        <v>0</v>
      </c>
      <c r="M19" s="68">
        <f t="shared" si="2"/>
        <v>0</v>
      </c>
      <c r="N19" s="67">
        <f>'свбаз расчет'!AI19</f>
        <v>0</v>
      </c>
      <c r="O19" s="68">
        <f>'свбаз расчет'!AS19</f>
        <v>0</v>
      </c>
      <c r="P19" s="68">
        <f t="shared" si="7"/>
        <v>0</v>
      </c>
      <c r="Q19" s="68">
        <f t="shared" si="8"/>
        <v>0</v>
      </c>
      <c r="R19" s="68">
        <f t="shared" si="3"/>
        <v>0</v>
      </c>
      <c r="S19" s="68">
        <f t="shared" si="9"/>
        <v>0</v>
      </c>
      <c r="T19" s="68">
        <f t="shared" si="4"/>
        <v>0</v>
      </c>
      <c r="U19" s="68">
        <f t="shared" si="4"/>
        <v>0</v>
      </c>
      <c r="V19" s="6"/>
    </row>
    <row r="20" spans="2:22" ht="30" x14ac:dyDescent="0.25">
      <c r="B20" s="65">
        <v>7</v>
      </c>
      <c r="C20" s="66" t="s">
        <v>31</v>
      </c>
      <c r="D20" s="67">
        <f>'свбаз расчет'!G20</f>
        <v>2</v>
      </c>
      <c r="E20" s="68">
        <f>'свбаз расчет'!Q20</f>
        <v>37898.58</v>
      </c>
      <c r="F20" s="68">
        <f t="shared" si="5"/>
        <v>37898.58</v>
      </c>
      <c r="G20" s="68">
        <f t="shared" si="0"/>
        <v>25043.38</v>
      </c>
      <c r="H20" s="68">
        <f t="shared" si="10"/>
        <v>12855.2</v>
      </c>
      <c r="I20" s="67">
        <f>'свбаз расчет'!U20</f>
        <v>0</v>
      </c>
      <c r="J20" s="68">
        <f>'свбаз расчет'!AE20</f>
        <v>0</v>
      </c>
      <c r="K20" s="68">
        <f t="shared" si="6"/>
        <v>0</v>
      </c>
      <c r="L20" s="68">
        <f t="shared" si="1"/>
        <v>0</v>
      </c>
      <c r="M20" s="68">
        <f t="shared" si="2"/>
        <v>0</v>
      </c>
      <c r="N20" s="67">
        <f>'свбаз расчет'!AI20</f>
        <v>0</v>
      </c>
      <c r="O20" s="68">
        <f>'свбаз расчет'!AS20</f>
        <v>0</v>
      </c>
      <c r="P20" s="68">
        <f t="shared" si="7"/>
        <v>0</v>
      </c>
      <c r="Q20" s="68">
        <f>ROUND(O20*$Q$24%,2)</f>
        <v>0</v>
      </c>
      <c r="R20" s="68">
        <f t="shared" si="3"/>
        <v>0</v>
      </c>
      <c r="S20" s="68">
        <f t="shared" si="9"/>
        <v>37898.58</v>
      </c>
      <c r="T20" s="68">
        <f t="shared" si="4"/>
        <v>25043.38</v>
      </c>
      <c r="U20" s="68">
        <f t="shared" si="4"/>
        <v>12855.2</v>
      </c>
      <c r="V20" s="6"/>
    </row>
    <row r="21" spans="2:22" ht="45" x14ac:dyDescent="0.25">
      <c r="B21" s="65">
        <v>8</v>
      </c>
      <c r="C21" s="66" t="s">
        <v>32</v>
      </c>
      <c r="D21" s="67">
        <f>'свбаз расчет'!G21</f>
        <v>2</v>
      </c>
      <c r="E21" s="68">
        <f>'свбаз расчет'!Q21</f>
        <v>54742.400000000001</v>
      </c>
      <c r="F21" s="68">
        <f t="shared" si="5"/>
        <v>54742.399999999994</v>
      </c>
      <c r="G21" s="68">
        <f t="shared" si="0"/>
        <v>36173.78</v>
      </c>
      <c r="H21" s="68">
        <f t="shared" si="10"/>
        <v>18568.62</v>
      </c>
      <c r="I21" s="67">
        <f>'свбаз расчет'!U21</f>
        <v>1</v>
      </c>
      <c r="J21" s="68">
        <f>'свбаз расчет'!AE21</f>
        <v>6327.43</v>
      </c>
      <c r="K21" s="68">
        <f t="shared" si="6"/>
        <v>6327.43</v>
      </c>
      <c r="L21" s="68">
        <f t="shared" si="1"/>
        <v>4181.17</v>
      </c>
      <c r="M21" s="68">
        <f t="shared" si="2"/>
        <v>2146.2600000000002</v>
      </c>
      <c r="N21" s="67">
        <f>'свбаз расчет'!AI21</f>
        <v>0</v>
      </c>
      <c r="O21" s="68">
        <f>'свбаз расчет'!AS21</f>
        <v>0</v>
      </c>
      <c r="P21" s="68">
        <f t="shared" si="7"/>
        <v>0</v>
      </c>
      <c r="Q21" s="68">
        <f>ROUND(O21*$Q$24%,2)</f>
        <v>0</v>
      </c>
      <c r="R21" s="68">
        <f t="shared" si="3"/>
        <v>0</v>
      </c>
      <c r="S21" s="68">
        <f t="shared" si="9"/>
        <v>61069.829999999994</v>
      </c>
      <c r="T21" s="68">
        <f t="shared" si="4"/>
        <v>40354.949999999997</v>
      </c>
      <c r="U21" s="68">
        <f t="shared" si="4"/>
        <v>20714.879999999997</v>
      </c>
      <c r="V21" s="6"/>
    </row>
    <row r="22" spans="2:22" x14ac:dyDescent="0.25">
      <c r="B22" s="65"/>
      <c r="C22" s="66" t="s">
        <v>14</v>
      </c>
      <c r="D22" s="67">
        <f t="shared" ref="D22:U22" si="11">SUM(D14:D21)</f>
        <v>10</v>
      </c>
      <c r="E22" s="68">
        <f t="shared" si="11"/>
        <v>2035995.7500000002</v>
      </c>
      <c r="F22" s="68">
        <f t="shared" si="11"/>
        <v>2035995.7500000002</v>
      </c>
      <c r="G22" s="68">
        <f t="shared" si="11"/>
        <v>1345385.9899999998</v>
      </c>
      <c r="H22" s="68">
        <f t="shared" si="11"/>
        <v>690609.75999999989</v>
      </c>
      <c r="I22" s="67">
        <f t="shared" si="11"/>
        <v>3</v>
      </c>
      <c r="J22" s="68">
        <f t="shared" si="11"/>
        <v>105457</v>
      </c>
      <c r="K22" s="68">
        <f t="shared" si="11"/>
        <v>105457</v>
      </c>
      <c r="L22" s="68">
        <f t="shared" si="11"/>
        <v>69685.990000000005</v>
      </c>
      <c r="M22" s="68">
        <f t="shared" si="11"/>
        <v>35771.01</v>
      </c>
      <c r="N22" s="67">
        <f t="shared" si="11"/>
        <v>2</v>
      </c>
      <c r="O22" s="68">
        <f t="shared" si="11"/>
        <v>640657.17000000004</v>
      </c>
      <c r="P22" s="68">
        <f t="shared" si="11"/>
        <v>640657.17000000004</v>
      </c>
      <c r="Q22" s="68">
        <f t="shared" si="11"/>
        <v>423346.26</v>
      </c>
      <c r="R22" s="68">
        <f t="shared" si="11"/>
        <v>217310.91</v>
      </c>
      <c r="S22" s="68">
        <f t="shared" si="11"/>
        <v>2782109.92</v>
      </c>
      <c r="T22" s="68">
        <f t="shared" si="11"/>
        <v>1838418.2399999998</v>
      </c>
      <c r="U22" s="68">
        <f t="shared" si="11"/>
        <v>943691.68</v>
      </c>
      <c r="V22" s="6"/>
    </row>
    <row r="23" spans="2:22" hidden="1" x14ac:dyDescent="0.25">
      <c r="F23" s="60">
        <f>G23+H23</f>
        <v>1032376</v>
      </c>
      <c r="G23" s="60">
        <v>682243</v>
      </c>
      <c r="H23" s="60">
        <v>350133</v>
      </c>
      <c r="K23" s="60">
        <f>F23</f>
        <v>1032376</v>
      </c>
      <c r="L23" s="60">
        <f>G23</f>
        <v>682243</v>
      </c>
      <c r="M23" s="60">
        <f>H23</f>
        <v>350133</v>
      </c>
      <c r="P23" s="60">
        <f>F23</f>
        <v>1032376</v>
      </c>
      <c r="Q23" s="60">
        <f>G23</f>
        <v>682243</v>
      </c>
      <c r="R23" s="60">
        <f>H23</f>
        <v>350133</v>
      </c>
      <c r="S23" s="62">
        <f>P22+K22+F22</f>
        <v>2782109.9200000004</v>
      </c>
      <c r="T23" s="62">
        <f>Q22+L22+G22</f>
        <v>1838418.2399999998</v>
      </c>
      <c r="U23" s="62">
        <f>R22+M22+H22</f>
        <v>943691.67999999993</v>
      </c>
      <c r="V23" s="6"/>
    </row>
    <row r="24" spans="2:22" hidden="1" x14ac:dyDescent="0.25">
      <c r="F24" s="61">
        <f>G24+H24</f>
        <v>100</v>
      </c>
      <c r="G24" s="61">
        <f>ROUND(G23/F23*100,2)</f>
        <v>66.08</v>
      </c>
      <c r="H24" s="61">
        <f>ROUND(H23/F23*100,2)</f>
        <v>33.92</v>
      </c>
      <c r="K24" s="61">
        <f>L24+M24</f>
        <v>100</v>
      </c>
      <c r="L24" s="61">
        <f>ROUND(L23/K23*100,2)</f>
        <v>66.08</v>
      </c>
      <c r="M24" s="61">
        <f>ROUND(M23/K23*100,2)</f>
        <v>33.92</v>
      </c>
      <c r="P24" s="61">
        <f>Q24+R24</f>
        <v>100</v>
      </c>
      <c r="Q24" s="61">
        <f>ROUND(Q23/P23*100,2)</f>
        <v>66.08</v>
      </c>
      <c r="R24" s="61">
        <f>ROUND(R23/P23*100,2)</f>
        <v>33.92</v>
      </c>
      <c r="S24" s="62">
        <f>T23+U23</f>
        <v>2782109.92</v>
      </c>
      <c r="V24" s="6"/>
    </row>
    <row r="26" spans="2:22" x14ac:dyDescent="0.25">
      <c r="C26" s="69" t="s">
        <v>15</v>
      </c>
    </row>
  </sheetData>
  <mergeCells count="26">
    <mergeCell ref="B10:U10"/>
    <mergeCell ref="S2:U2"/>
    <mergeCell ref="S3:U3"/>
    <mergeCell ref="S4:U4"/>
    <mergeCell ref="T6:U6"/>
    <mergeCell ref="B8:U8"/>
    <mergeCell ref="S11:U11"/>
    <mergeCell ref="E12:E13"/>
    <mergeCell ref="D11:H11"/>
    <mergeCell ref="I11:M11"/>
    <mergeCell ref="N11:R11"/>
    <mergeCell ref="T12:U12"/>
    <mergeCell ref="L12:M12"/>
    <mergeCell ref="P12:P13"/>
    <mergeCell ref="Q12:R12"/>
    <mergeCell ref="N12:N13"/>
    <mergeCell ref="S12:S13"/>
    <mergeCell ref="O12:O13"/>
    <mergeCell ref="D12:D13"/>
    <mergeCell ref="F12:F13"/>
    <mergeCell ref="G12:H12"/>
    <mergeCell ref="I12:I13"/>
    <mergeCell ref="K12:K13"/>
    <mergeCell ref="J12:J13"/>
    <mergeCell ref="B11:B13"/>
    <mergeCell ref="C11:C13"/>
  </mergeCells>
  <pageMargins left="0" right="0" top="0.74803149606299213" bottom="0.74803149606299213" header="0.31496062992125984" footer="0.31496062992125984"/>
  <pageSetup paperSize="9" scale="55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FF"/>
    <pageSetUpPr fitToPage="1"/>
  </sheetPr>
  <dimension ref="B2:AV25"/>
  <sheetViews>
    <sheetView tabSelected="1" view="pageBreakPreview" topLeftCell="A2" zoomScaleNormal="100" zoomScaleSheetLayoutView="100" workbookViewId="0">
      <pane xSplit="3" ySplit="7" topLeftCell="D9" activePane="bottomRight" state="frozen"/>
      <selection activeCell="A2" sqref="A2"/>
      <selection pane="topRight" activeCell="E2" sqref="E2"/>
      <selection pane="bottomLeft" activeCell="A3" sqref="A3"/>
      <selection pane="bottomRight" activeCell="B2" sqref="B2:AU24"/>
    </sheetView>
  </sheetViews>
  <sheetFormatPr defaultColWidth="8.85546875" defaultRowHeight="15" x14ac:dyDescent="0.25"/>
  <cols>
    <col min="1" max="1" width="2.28515625" style="1" customWidth="1"/>
    <col min="2" max="2" width="4.140625" style="2" customWidth="1"/>
    <col min="3" max="3" width="20.28515625" style="12" customWidth="1"/>
    <col min="4" max="4" width="5.42578125" style="3" customWidth="1"/>
    <col min="5" max="5" width="6.42578125" style="3" customWidth="1"/>
    <col min="6" max="6" width="10.5703125" style="4" customWidth="1"/>
    <col min="7" max="7" width="14.5703125" style="5" customWidth="1"/>
    <col min="8" max="8" width="13.7109375" style="6" customWidth="1"/>
    <col min="9" max="9" width="6.7109375" style="6" customWidth="1"/>
    <col min="10" max="10" width="17.42578125" style="6" customWidth="1"/>
    <col min="11" max="11" width="11.7109375" style="6" bestFit="1" customWidth="1"/>
    <col min="12" max="12" width="11" style="6" customWidth="1"/>
    <col min="13" max="13" width="13.28515625" style="6" customWidth="1"/>
    <col min="14" max="14" width="4.85546875" style="4" customWidth="1"/>
    <col min="15" max="15" width="14.42578125" style="6" customWidth="1"/>
    <col min="16" max="16" width="15.42578125" style="55" customWidth="1"/>
    <col min="17" max="17" width="14.140625" style="7" customWidth="1"/>
    <col min="18" max="18" width="5.42578125" style="3" customWidth="1"/>
    <col min="19" max="19" width="6.42578125" style="3" customWidth="1"/>
    <col min="20" max="20" width="11.140625" style="4" customWidth="1"/>
    <col min="21" max="21" width="10" style="5" customWidth="1"/>
    <col min="22" max="22" width="12.42578125" style="6" customWidth="1"/>
    <col min="23" max="23" width="6.7109375" style="6" customWidth="1"/>
    <col min="24" max="24" width="11.7109375" style="6" hidden="1" customWidth="1"/>
    <col min="25" max="25" width="10.7109375" style="6" customWidth="1"/>
    <col min="26" max="26" width="7.28515625" style="6" customWidth="1"/>
    <col min="27" max="27" width="8.28515625" style="6" customWidth="1"/>
    <col min="28" max="28" width="5.7109375" style="4" customWidth="1"/>
    <col min="29" max="29" width="9.140625" style="6" hidden="1" customWidth="1"/>
    <col min="30" max="30" width="10.140625" style="6" hidden="1" customWidth="1"/>
    <col min="31" max="31" width="16.7109375" style="7" customWidth="1"/>
    <col min="32" max="32" width="6.42578125" style="3" customWidth="1"/>
    <col min="33" max="33" width="6.5703125" style="3" customWidth="1"/>
    <col min="34" max="34" width="12.7109375" style="4" customWidth="1"/>
    <col min="35" max="35" width="9.28515625" style="5" customWidth="1"/>
    <col min="36" max="36" width="13.7109375" style="6" customWidth="1"/>
    <col min="37" max="37" width="6.140625" style="4" customWidth="1"/>
    <col min="38" max="38" width="11.7109375" style="6" hidden="1" customWidth="1"/>
    <col min="39" max="39" width="10.7109375" style="6" customWidth="1"/>
    <col min="40" max="40" width="17.28515625" style="4" customWidth="1"/>
    <col min="41" max="41" width="14.140625" style="4" customWidth="1"/>
    <col min="42" max="42" width="5.42578125" style="4" customWidth="1"/>
    <col min="43" max="43" width="9.140625" style="6" hidden="1" customWidth="1"/>
    <col min="44" max="44" width="12" style="6" hidden="1" customWidth="1"/>
    <col min="45" max="45" width="11.7109375" style="7" customWidth="1"/>
    <col min="46" max="46" width="13.42578125" style="7" customWidth="1"/>
    <col min="47" max="47" width="13" style="7" customWidth="1"/>
    <col min="48" max="48" width="11.7109375" style="6" hidden="1" customWidth="1"/>
    <col min="49" max="16384" width="8.85546875" style="1"/>
  </cols>
  <sheetData>
    <row r="2" spans="2:48" ht="18.75" x14ac:dyDescent="0.25">
      <c r="AP2" s="71"/>
      <c r="AQ2" s="72"/>
      <c r="AR2" s="72"/>
      <c r="AS2" s="146" t="s">
        <v>51</v>
      </c>
      <c r="AT2" s="146"/>
      <c r="AU2" s="146"/>
    </row>
    <row r="3" spans="2:48" ht="18.75" x14ac:dyDescent="0.25">
      <c r="AP3" s="146" t="s">
        <v>52</v>
      </c>
      <c r="AQ3" s="146"/>
      <c r="AR3" s="146"/>
      <c r="AS3" s="146"/>
      <c r="AT3" s="146"/>
      <c r="AU3" s="146"/>
    </row>
    <row r="4" spans="2:48" ht="18.75" x14ac:dyDescent="0.25">
      <c r="AP4" s="146" t="s">
        <v>48</v>
      </c>
      <c r="AQ4" s="146"/>
      <c r="AR4" s="146"/>
      <c r="AS4" s="146"/>
      <c r="AT4" s="146"/>
      <c r="AU4" s="146"/>
    </row>
    <row r="5" spans="2:48" ht="18.75" x14ac:dyDescent="0.25">
      <c r="AP5" s="73"/>
      <c r="AQ5" s="73"/>
      <c r="AR5" s="73"/>
      <c r="AS5" s="73"/>
      <c r="AT5" s="73"/>
      <c r="AU5" s="73"/>
    </row>
    <row r="6" spans="2:48" ht="18.75" x14ac:dyDescent="0.25">
      <c r="AP6" s="73"/>
      <c r="AQ6" s="73"/>
      <c r="AR6" s="73"/>
      <c r="AS6" s="73"/>
      <c r="AT6" s="146" t="s">
        <v>53</v>
      </c>
      <c r="AU6" s="146"/>
    </row>
    <row r="8" spans="2:48" ht="31.5" customHeight="1" x14ac:dyDescent="0.25">
      <c r="B8" s="74" t="s">
        <v>54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</row>
    <row r="10" spans="2:48" ht="15.75" x14ac:dyDescent="0.25">
      <c r="C10" s="33" t="s">
        <v>0</v>
      </c>
    </row>
    <row r="11" spans="2:48" s="15" customFormat="1" ht="24" customHeight="1" x14ac:dyDescent="0.2">
      <c r="B11" s="103" t="s">
        <v>1</v>
      </c>
      <c r="C11" s="103" t="s">
        <v>2</v>
      </c>
      <c r="D11" s="94" t="s">
        <v>3</v>
      </c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6"/>
      <c r="P11" s="56"/>
      <c r="Q11" s="38"/>
      <c r="R11" s="97" t="s">
        <v>4</v>
      </c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9"/>
      <c r="AE11" s="39"/>
      <c r="AF11" s="100" t="s">
        <v>21</v>
      </c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2"/>
      <c r="AS11" s="40"/>
      <c r="AT11" s="113" t="s">
        <v>43</v>
      </c>
      <c r="AU11" s="147" t="s">
        <v>44</v>
      </c>
      <c r="AV11" s="128" t="s">
        <v>33</v>
      </c>
    </row>
    <row r="12" spans="2:48" s="14" customFormat="1" ht="33" customHeight="1" x14ac:dyDescent="0.25">
      <c r="B12" s="103"/>
      <c r="C12" s="103"/>
      <c r="D12" s="116" t="s">
        <v>22</v>
      </c>
      <c r="E12" s="116"/>
      <c r="F12" s="116"/>
      <c r="G12" s="118" t="s">
        <v>6</v>
      </c>
      <c r="H12" s="119" t="s">
        <v>16</v>
      </c>
      <c r="I12" s="120" t="s">
        <v>7</v>
      </c>
      <c r="J12" s="119" t="s">
        <v>8</v>
      </c>
      <c r="K12" s="119" t="s">
        <v>39</v>
      </c>
      <c r="L12" s="121" t="s">
        <v>9</v>
      </c>
      <c r="M12" s="122" t="s">
        <v>10</v>
      </c>
      <c r="N12" s="123" t="s">
        <v>11</v>
      </c>
      <c r="O12" s="125" t="s">
        <v>40</v>
      </c>
      <c r="P12" s="106" t="s">
        <v>34</v>
      </c>
      <c r="Q12" s="125" t="s">
        <v>41</v>
      </c>
      <c r="R12" s="145" t="s">
        <v>24</v>
      </c>
      <c r="S12" s="145"/>
      <c r="T12" s="145"/>
      <c r="U12" s="117" t="s">
        <v>6</v>
      </c>
      <c r="V12" s="104" t="s">
        <v>16</v>
      </c>
      <c r="W12" s="93" t="s">
        <v>7</v>
      </c>
      <c r="X12" s="104" t="s">
        <v>8</v>
      </c>
      <c r="Y12" s="104" t="s">
        <v>39</v>
      </c>
      <c r="Z12" s="105" t="s">
        <v>9</v>
      </c>
      <c r="AA12" s="105" t="s">
        <v>10</v>
      </c>
      <c r="AB12" s="139" t="s">
        <v>11</v>
      </c>
      <c r="AC12" s="141" t="s">
        <v>12</v>
      </c>
      <c r="AD12" s="143" t="s">
        <v>23</v>
      </c>
      <c r="AE12" s="143" t="s">
        <v>42</v>
      </c>
      <c r="AF12" s="112" t="s">
        <v>24</v>
      </c>
      <c r="AG12" s="112"/>
      <c r="AH12" s="112"/>
      <c r="AI12" s="127" t="s">
        <v>6</v>
      </c>
      <c r="AJ12" s="136" t="s">
        <v>16</v>
      </c>
      <c r="AK12" s="137" t="s">
        <v>7</v>
      </c>
      <c r="AL12" s="136" t="s">
        <v>8</v>
      </c>
      <c r="AM12" s="136" t="s">
        <v>39</v>
      </c>
      <c r="AN12" s="138" t="s">
        <v>9</v>
      </c>
      <c r="AO12" s="138" t="s">
        <v>10</v>
      </c>
      <c r="AP12" s="108" t="s">
        <v>11</v>
      </c>
      <c r="AQ12" s="110" t="s">
        <v>12</v>
      </c>
      <c r="AR12" s="134" t="s">
        <v>23</v>
      </c>
      <c r="AS12" s="134" t="s">
        <v>40</v>
      </c>
      <c r="AT12" s="114"/>
      <c r="AU12" s="148"/>
      <c r="AV12" s="129"/>
    </row>
    <row r="13" spans="2:48" s="8" customFormat="1" ht="57" customHeight="1" x14ac:dyDescent="0.25">
      <c r="B13" s="103"/>
      <c r="C13" s="103"/>
      <c r="D13" s="52" t="s">
        <v>35</v>
      </c>
      <c r="E13" s="52" t="s">
        <v>36</v>
      </c>
      <c r="F13" s="32" t="s">
        <v>13</v>
      </c>
      <c r="G13" s="118"/>
      <c r="H13" s="119"/>
      <c r="I13" s="120"/>
      <c r="J13" s="119"/>
      <c r="K13" s="119"/>
      <c r="L13" s="121"/>
      <c r="M13" s="122"/>
      <c r="N13" s="124"/>
      <c r="O13" s="126"/>
      <c r="P13" s="107"/>
      <c r="Q13" s="126"/>
      <c r="R13" s="21" t="s">
        <v>37</v>
      </c>
      <c r="S13" s="21" t="s">
        <v>36</v>
      </c>
      <c r="T13" s="47" t="s">
        <v>13</v>
      </c>
      <c r="U13" s="117"/>
      <c r="V13" s="104"/>
      <c r="W13" s="93"/>
      <c r="X13" s="104"/>
      <c r="Y13" s="104"/>
      <c r="Z13" s="105"/>
      <c r="AA13" s="105"/>
      <c r="AB13" s="140"/>
      <c r="AC13" s="142"/>
      <c r="AD13" s="144"/>
      <c r="AE13" s="144"/>
      <c r="AF13" s="53" t="s">
        <v>35</v>
      </c>
      <c r="AG13" s="53" t="s">
        <v>38</v>
      </c>
      <c r="AH13" s="54" t="s">
        <v>13</v>
      </c>
      <c r="AI13" s="127"/>
      <c r="AJ13" s="136"/>
      <c r="AK13" s="137"/>
      <c r="AL13" s="136"/>
      <c r="AM13" s="136"/>
      <c r="AN13" s="138"/>
      <c r="AO13" s="138"/>
      <c r="AP13" s="109"/>
      <c r="AQ13" s="111"/>
      <c r="AR13" s="135"/>
      <c r="AS13" s="135"/>
      <c r="AT13" s="115"/>
      <c r="AU13" s="149"/>
      <c r="AV13" s="130"/>
    </row>
    <row r="14" spans="2:48" ht="75" x14ac:dyDescent="0.25">
      <c r="B14" s="9">
        <v>1</v>
      </c>
      <c r="C14" s="10" t="s">
        <v>25</v>
      </c>
      <c r="D14" s="27">
        <v>331</v>
      </c>
      <c r="E14" s="27">
        <v>390</v>
      </c>
      <c r="F14" s="31">
        <f t="shared" ref="F14:F22" si="0">ROUND(E14/D14*100,1)</f>
        <v>117.8</v>
      </c>
      <c r="G14" s="29">
        <f>IF(F14&lt;=84.99,0,IF(F14&lt;=90,1,2))</f>
        <v>2</v>
      </c>
      <c r="H14" s="50">
        <v>215193672</v>
      </c>
      <c r="I14" s="28">
        <f t="shared" ref="I14:I21" si="1">ROUND(H14/$H$22*100,2)</f>
        <v>26.42</v>
      </c>
      <c r="J14" s="28">
        <f t="shared" ref="J14:J21" si="2">H14*1%</f>
        <v>2151936.7200000002</v>
      </c>
      <c r="K14" s="28">
        <f>ROUND(J14/4,2)</f>
        <v>537984.18000000005</v>
      </c>
      <c r="L14" s="28">
        <f>ROUND(G14*I14,2)</f>
        <v>52.84</v>
      </c>
      <c r="M14" s="28">
        <f t="shared" ref="M14:M21" si="3">ROUND(L14/$L$23,2)</f>
        <v>3.71</v>
      </c>
      <c r="N14" s="131">
        <f>ROUND(K22/G22,2)</f>
        <v>203599.58</v>
      </c>
      <c r="O14" s="30">
        <f>ROUND(G14*I14/$L$23*$N$14,2)</f>
        <v>755491.7</v>
      </c>
      <c r="P14" s="57">
        <f>$P$23</f>
        <v>1.0186096</v>
      </c>
      <c r="Q14" s="30">
        <f>ROUND(O14/P14,2)+0.01</f>
        <v>741689.17</v>
      </c>
      <c r="R14" s="22">
        <v>172</v>
      </c>
      <c r="S14" s="22">
        <v>118</v>
      </c>
      <c r="T14" s="26">
        <f>ROUND(S14/R14*100,1)</f>
        <v>68.599999999999994</v>
      </c>
      <c r="U14" s="24">
        <f>IF(T14&lt;=84.99,0,IF(T14&lt;=90,1,2))</f>
        <v>0</v>
      </c>
      <c r="V14" s="51">
        <v>21186588.399999999</v>
      </c>
      <c r="W14" s="23">
        <f t="shared" ref="W14:W21" si="4">ROUND(V14/$V$22*100,2)</f>
        <v>50.23</v>
      </c>
      <c r="X14" s="23">
        <f t="shared" ref="X14:X21" si="5">V14*1%</f>
        <v>211865.88399999999</v>
      </c>
      <c r="Y14" s="23">
        <f>ROUND(X14/4,2)</f>
        <v>52966.47</v>
      </c>
      <c r="Z14" s="23">
        <f>ROUND(U14*W14,2)</f>
        <v>0</v>
      </c>
      <c r="AA14" s="23">
        <f t="shared" ref="AA14:AA21" si="6">ROUND(Z14/$Z$23,2)</f>
        <v>0</v>
      </c>
      <c r="AB14" s="132">
        <f>ROUND(Y22/U22,2)</f>
        <v>35152.33</v>
      </c>
      <c r="AC14" s="23"/>
      <c r="AD14" s="25">
        <f t="shared" ref="AD14:AD21" si="7">ROUND(U14*W14/$Z$23*$AB$14,2)</f>
        <v>0</v>
      </c>
      <c r="AE14" s="25">
        <f>ROUND(AA14*$AB$14,2)</f>
        <v>0</v>
      </c>
      <c r="AF14" s="16">
        <f>2093+7195+853+1874</f>
        <v>12015</v>
      </c>
      <c r="AG14" s="16">
        <f>1058+1798+6686+490</f>
        <v>10032</v>
      </c>
      <c r="AH14" s="17">
        <f>ROUND(AG14/AF14*100,2)</f>
        <v>83.5</v>
      </c>
      <c r="AI14" s="18">
        <f>IF(AH14&lt;=84.99,0,IF(AH14&lt;=90,1,2))</f>
        <v>0</v>
      </c>
      <c r="AJ14" s="19">
        <v>51930840.600000001</v>
      </c>
      <c r="AK14" s="17">
        <f t="shared" ref="AK14:AK21" si="8">ROUND(AJ14/$AJ$22*100,2)</f>
        <v>20.260000000000002</v>
      </c>
      <c r="AL14" s="19">
        <f t="shared" ref="AL14:AL21" si="9">AJ14*1%</f>
        <v>519308.40600000002</v>
      </c>
      <c r="AM14" s="19">
        <f>ROUND(AL14/4,2)</f>
        <v>129827.1</v>
      </c>
      <c r="AN14" s="17">
        <f>ROUND(AI14*AK14,2)</f>
        <v>0</v>
      </c>
      <c r="AO14" s="17">
        <f t="shared" ref="AO14:AO21" si="10">ROUND(AN14/$AN$23,2)</f>
        <v>0</v>
      </c>
      <c r="AP14" s="133">
        <f>ROUND(AM22/AI22,2)</f>
        <v>320328.59000000003</v>
      </c>
      <c r="AQ14" s="19"/>
      <c r="AR14" s="20">
        <f t="shared" ref="AR14:AR21" si="11">ROUND(AI14*AK14/$AN$23*$AP$14,2)</f>
        <v>0</v>
      </c>
      <c r="AS14" s="20">
        <f>ROUND(AO14*$AP$14,2)</f>
        <v>0</v>
      </c>
      <c r="AT14" s="11">
        <f>K14+Y14+AM14</f>
        <v>720777.75</v>
      </c>
      <c r="AU14" s="11">
        <f>AS14+AE14+Q14</f>
        <v>741689.17</v>
      </c>
      <c r="AV14" s="36">
        <f>AU14-AT14</f>
        <v>20911.420000000042</v>
      </c>
    </row>
    <row r="15" spans="2:48" ht="75" x14ac:dyDescent="0.25">
      <c r="B15" s="9">
        <v>2</v>
      </c>
      <c r="C15" s="10" t="s">
        <v>26</v>
      </c>
      <c r="D15" s="27">
        <v>429</v>
      </c>
      <c r="E15" s="27">
        <v>365</v>
      </c>
      <c r="F15" s="31">
        <f t="shared" si="0"/>
        <v>85.1</v>
      </c>
      <c r="G15" s="43">
        <f t="shared" ref="G15:G21" si="12">IF(F15&lt;=84.99,0,IF(F15&lt;=90,1,2))</f>
        <v>1</v>
      </c>
      <c r="H15" s="50">
        <v>217174621.5</v>
      </c>
      <c r="I15" s="28">
        <f t="shared" si="1"/>
        <v>26.67</v>
      </c>
      <c r="J15" s="28">
        <f t="shared" si="2"/>
        <v>2171746.2149999999</v>
      </c>
      <c r="K15" s="28">
        <f t="shared" ref="K15:K21" si="13">ROUND(J15/4,2)</f>
        <v>542936.55000000005</v>
      </c>
      <c r="L15" s="28">
        <f t="shared" ref="L15:L21" si="14">ROUND(G15*I15,2)</f>
        <v>26.67</v>
      </c>
      <c r="M15" s="28">
        <f t="shared" si="3"/>
        <v>1.87</v>
      </c>
      <c r="N15" s="131"/>
      <c r="O15" s="30">
        <f t="shared" ref="O15:O21" si="15">ROUND(G15*I15/$L$23*$N$14,2)</f>
        <v>381320.28</v>
      </c>
      <c r="P15" s="57">
        <f t="shared" ref="P15:P21" si="16">$P$23</f>
        <v>1.0186096</v>
      </c>
      <c r="Q15" s="30">
        <f>ROUND(O15/P15,2)+0.01</f>
        <v>374353.72000000003</v>
      </c>
      <c r="R15" s="22">
        <v>0</v>
      </c>
      <c r="S15" s="22">
        <v>0</v>
      </c>
      <c r="T15" s="26"/>
      <c r="U15" s="41">
        <f t="shared" ref="U15:U21" si="17">IF(T15&lt;=84.99,0,IF(T15&lt;=90,1,2))</f>
        <v>0</v>
      </c>
      <c r="V15" s="51"/>
      <c r="W15" s="23">
        <f t="shared" si="4"/>
        <v>0</v>
      </c>
      <c r="X15" s="23">
        <f t="shared" si="5"/>
        <v>0</v>
      </c>
      <c r="Y15" s="23">
        <f t="shared" ref="Y15:Y21" si="18">ROUND(X15/4,2)</f>
        <v>0</v>
      </c>
      <c r="Z15" s="23">
        <f t="shared" ref="Z15:Z21" si="19">ROUND(U15*W15,2)</f>
        <v>0</v>
      </c>
      <c r="AA15" s="23">
        <f t="shared" si="6"/>
        <v>0</v>
      </c>
      <c r="AB15" s="132"/>
      <c r="AC15" s="23"/>
      <c r="AD15" s="25">
        <f t="shared" si="7"/>
        <v>0</v>
      </c>
      <c r="AE15" s="25">
        <f t="shared" ref="AE15:AE20" si="20">ROUND(AA15*$AB$14,2)</f>
        <v>0</v>
      </c>
      <c r="AF15" s="16">
        <v>0</v>
      </c>
      <c r="AG15" s="16">
        <v>0</v>
      </c>
      <c r="AH15" s="17">
        <v>0</v>
      </c>
      <c r="AI15" s="44">
        <f t="shared" ref="AI15:AI21" si="21">IF(AH15&lt;=84.99,0,IF(AH15&lt;=90,1,2))</f>
        <v>0</v>
      </c>
      <c r="AJ15" s="19"/>
      <c r="AK15" s="17">
        <f t="shared" si="8"/>
        <v>0</v>
      </c>
      <c r="AL15" s="19">
        <f t="shared" si="9"/>
        <v>0</v>
      </c>
      <c r="AM15" s="19">
        <f t="shared" ref="AM15:AM21" si="22">ROUND(AL15/4,2)</f>
        <v>0</v>
      </c>
      <c r="AN15" s="17">
        <f t="shared" ref="AN15:AN21" si="23">ROUND(AI15*AK15,2)</f>
        <v>0</v>
      </c>
      <c r="AO15" s="17">
        <f t="shared" si="10"/>
        <v>0</v>
      </c>
      <c r="AP15" s="133"/>
      <c r="AQ15" s="19"/>
      <c r="AR15" s="20">
        <f t="shared" si="11"/>
        <v>0</v>
      </c>
      <c r="AS15" s="20">
        <f t="shared" ref="AS15:AS21" si="24">ROUND(AO15*$AP$14,2)</f>
        <v>0</v>
      </c>
      <c r="AT15" s="11">
        <f t="shared" ref="AT15:AT21" si="25">K15+Y15+AM15</f>
        <v>542936.55000000005</v>
      </c>
      <c r="AU15" s="11">
        <f t="shared" ref="AU15:AU21" si="26">AS15+AE15+Q15</f>
        <v>374353.72000000003</v>
      </c>
      <c r="AV15" s="36">
        <f t="shared" ref="AV15:AV22" si="27">AU15-AT15</f>
        <v>-168582.83000000002</v>
      </c>
    </row>
    <row r="16" spans="2:48" ht="75" x14ac:dyDescent="0.25">
      <c r="B16" s="9">
        <v>3</v>
      </c>
      <c r="C16" s="10" t="s">
        <v>27</v>
      </c>
      <c r="D16" s="27">
        <v>124</v>
      </c>
      <c r="E16" s="27">
        <v>127</v>
      </c>
      <c r="F16" s="31">
        <f t="shared" si="0"/>
        <v>102.4</v>
      </c>
      <c r="G16" s="43">
        <f t="shared" si="12"/>
        <v>2</v>
      </c>
      <c r="H16" s="50">
        <v>190652515.40000001</v>
      </c>
      <c r="I16" s="45">
        <f t="shared" si="1"/>
        <v>23.41</v>
      </c>
      <c r="J16" s="45">
        <f t="shared" ref="J16" si="28">H16*1%</f>
        <v>1906525.1540000001</v>
      </c>
      <c r="K16" s="45">
        <f t="shared" ref="K16" si="29">ROUND(J16/4,2)</f>
        <v>476631.29</v>
      </c>
      <c r="L16" s="45">
        <f t="shared" ref="L16" si="30">ROUND(G16*I16,2)</f>
        <v>46.82</v>
      </c>
      <c r="M16" s="45">
        <f t="shared" si="3"/>
        <v>3.29</v>
      </c>
      <c r="N16" s="131"/>
      <c r="O16" s="30">
        <f t="shared" si="15"/>
        <v>669419.41</v>
      </c>
      <c r="P16" s="57">
        <f t="shared" si="16"/>
        <v>1.0186096</v>
      </c>
      <c r="Q16" s="30">
        <f>ROUND(O16/P16,2)-0.01</f>
        <v>657189.37</v>
      </c>
      <c r="R16" s="22">
        <v>38</v>
      </c>
      <c r="S16" s="22">
        <v>57</v>
      </c>
      <c r="T16" s="26">
        <f>ROUND(S16/R16*100,1)</f>
        <v>150</v>
      </c>
      <c r="U16" s="41">
        <f t="shared" si="17"/>
        <v>2</v>
      </c>
      <c r="V16" s="51">
        <v>12569510.6</v>
      </c>
      <c r="W16" s="46">
        <f t="shared" si="4"/>
        <v>29.8</v>
      </c>
      <c r="X16" s="46">
        <f t="shared" ref="X16" si="31">V16*1%</f>
        <v>125695.106</v>
      </c>
      <c r="Y16" s="46">
        <f t="shared" ref="Y16" si="32">ROUND(X16/4,2)</f>
        <v>31423.78</v>
      </c>
      <c r="Z16" s="46">
        <f t="shared" ref="Z16" si="33">ROUND(U16*W16,2)</f>
        <v>59.6</v>
      </c>
      <c r="AA16" s="46">
        <f t="shared" si="6"/>
        <v>2.82</v>
      </c>
      <c r="AB16" s="132"/>
      <c r="AC16" s="46"/>
      <c r="AD16" s="25">
        <f t="shared" si="7"/>
        <v>99089.34</v>
      </c>
      <c r="AE16" s="25">
        <f>ROUND(AA16*$AB$14,2)</f>
        <v>99129.57</v>
      </c>
      <c r="AF16" s="16">
        <f>48+12+6329+3796</f>
        <v>10185</v>
      </c>
      <c r="AG16" s="16">
        <f>42+6+6380+3054</f>
        <v>9482</v>
      </c>
      <c r="AH16" s="42">
        <f t="shared" ref="AH16:AH22" si="34">ROUND(AG16/AF16*100,2)</f>
        <v>93.1</v>
      </c>
      <c r="AI16" s="44">
        <f t="shared" si="21"/>
        <v>2</v>
      </c>
      <c r="AJ16" s="19">
        <v>46968409.299999997</v>
      </c>
      <c r="AK16" s="42">
        <f t="shared" si="8"/>
        <v>18.329999999999998</v>
      </c>
      <c r="AL16" s="19">
        <f t="shared" ref="AL16" si="35">AJ16*1%</f>
        <v>469684.09299999999</v>
      </c>
      <c r="AM16" s="19">
        <f t="shared" ref="AM16" si="36">ROUND(AL16/4,2)</f>
        <v>117421.02</v>
      </c>
      <c r="AN16" s="42">
        <f t="shared" ref="AN16" si="37">ROUND(AI16*AK16,2)</f>
        <v>36.659999999999997</v>
      </c>
      <c r="AO16" s="42">
        <f t="shared" si="10"/>
        <v>2</v>
      </c>
      <c r="AP16" s="133"/>
      <c r="AQ16" s="19"/>
      <c r="AR16" s="20">
        <f t="shared" si="11"/>
        <v>640657.18000000005</v>
      </c>
      <c r="AS16" s="20">
        <f>ROUND(AO16*$AP$14,2)-0.01</f>
        <v>640657.17000000004</v>
      </c>
      <c r="AT16" s="11">
        <f t="shared" si="25"/>
        <v>625476.09</v>
      </c>
      <c r="AU16" s="11">
        <f t="shared" si="26"/>
        <v>1396976.1099999999</v>
      </c>
      <c r="AV16" s="36">
        <f t="shared" si="27"/>
        <v>771500.0199999999</v>
      </c>
    </row>
    <row r="17" spans="2:48" ht="60" x14ac:dyDescent="0.25">
      <c r="B17" s="9">
        <v>4</v>
      </c>
      <c r="C17" s="10" t="s">
        <v>28</v>
      </c>
      <c r="D17" s="27">
        <v>19</v>
      </c>
      <c r="E17" s="27">
        <v>10</v>
      </c>
      <c r="F17" s="31">
        <f t="shared" si="0"/>
        <v>52.6</v>
      </c>
      <c r="G17" s="43">
        <f t="shared" si="12"/>
        <v>0</v>
      </c>
      <c r="H17" s="50">
        <v>27465376.399999999</v>
      </c>
      <c r="I17" s="28">
        <f t="shared" si="1"/>
        <v>3.37</v>
      </c>
      <c r="J17" s="28">
        <f t="shared" si="2"/>
        <v>274653.76399999997</v>
      </c>
      <c r="K17" s="28">
        <f t="shared" si="13"/>
        <v>68663.44</v>
      </c>
      <c r="L17" s="28">
        <f t="shared" si="14"/>
        <v>0</v>
      </c>
      <c r="M17" s="28">
        <f t="shared" si="3"/>
        <v>0</v>
      </c>
      <c r="N17" s="131"/>
      <c r="O17" s="30">
        <f t="shared" si="15"/>
        <v>0</v>
      </c>
      <c r="P17" s="57">
        <f t="shared" si="16"/>
        <v>1.0186096</v>
      </c>
      <c r="Q17" s="30">
        <f>ROUND(O17/P17,2)</f>
        <v>0</v>
      </c>
      <c r="R17" s="22">
        <v>0</v>
      </c>
      <c r="S17" s="22">
        <v>0</v>
      </c>
      <c r="T17" s="26"/>
      <c r="U17" s="41">
        <f t="shared" si="17"/>
        <v>0</v>
      </c>
      <c r="V17" s="51"/>
      <c r="W17" s="23">
        <f t="shared" si="4"/>
        <v>0</v>
      </c>
      <c r="X17" s="23">
        <f t="shared" si="5"/>
        <v>0</v>
      </c>
      <c r="Y17" s="23">
        <f t="shared" si="18"/>
        <v>0</v>
      </c>
      <c r="Z17" s="23">
        <f t="shared" si="19"/>
        <v>0</v>
      </c>
      <c r="AA17" s="23">
        <f t="shared" si="6"/>
        <v>0</v>
      </c>
      <c r="AB17" s="132"/>
      <c r="AC17" s="23"/>
      <c r="AD17" s="25">
        <f t="shared" si="7"/>
        <v>0</v>
      </c>
      <c r="AE17" s="25">
        <f t="shared" si="20"/>
        <v>0</v>
      </c>
      <c r="AF17" s="16">
        <f>94+97+946+963</f>
        <v>2100</v>
      </c>
      <c r="AG17" s="16">
        <f>103+5+118+907</f>
        <v>1133</v>
      </c>
      <c r="AH17" s="17">
        <f t="shared" si="34"/>
        <v>53.95</v>
      </c>
      <c r="AI17" s="44">
        <f t="shared" si="21"/>
        <v>0</v>
      </c>
      <c r="AJ17" s="19">
        <v>3035795.6</v>
      </c>
      <c r="AK17" s="17">
        <f t="shared" si="8"/>
        <v>1.18</v>
      </c>
      <c r="AL17" s="19">
        <f t="shared" si="9"/>
        <v>30357.956000000002</v>
      </c>
      <c r="AM17" s="19">
        <f t="shared" si="22"/>
        <v>7589.49</v>
      </c>
      <c r="AN17" s="17">
        <f t="shared" si="23"/>
        <v>0</v>
      </c>
      <c r="AO17" s="17">
        <f t="shared" si="10"/>
        <v>0</v>
      </c>
      <c r="AP17" s="133"/>
      <c r="AQ17" s="19"/>
      <c r="AR17" s="20">
        <f t="shared" si="11"/>
        <v>0</v>
      </c>
      <c r="AS17" s="20">
        <f t="shared" si="24"/>
        <v>0</v>
      </c>
      <c r="AT17" s="11">
        <f t="shared" si="25"/>
        <v>76252.930000000008</v>
      </c>
      <c r="AU17" s="11">
        <f t="shared" si="26"/>
        <v>0</v>
      </c>
      <c r="AV17" s="36">
        <f t="shared" si="27"/>
        <v>-76252.930000000008</v>
      </c>
    </row>
    <row r="18" spans="2:48" ht="75" x14ac:dyDescent="0.25">
      <c r="B18" s="9">
        <v>5</v>
      </c>
      <c r="C18" s="10" t="s">
        <v>29</v>
      </c>
      <c r="D18" s="27">
        <v>460</v>
      </c>
      <c r="E18" s="27">
        <v>404</v>
      </c>
      <c r="F18" s="31">
        <f t="shared" si="0"/>
        <v>87.8</v>
      </c>
      <c r="G18" s="43">
        <f t="shared" si="12"/>
        <v>1</v>
      </c>
      <c r="H18" s="50">
        <v>98699988.5</v>
      </c>
      <c r="I18" s="28">
        <f t="shared" si="1"/>
        <v>12.12</v>
      </c>
      <c r="J18" s="28">
        <f t="shared" si="2"/>
        <v>986999.88500000001</v>
      </c>
      <c r="K18" s="28">
        <f t="shared" si="13"/>
        <v>246749.97</v>
      </c>
      <c r="L18" s="28">
        <f t="shared" si="14"/>
        <v>12.12</v>
      </c>
      <c r="M18" s="28">
        <f t="shared" si="3"/>
        <v>0.85</v>
      </c>
      <c r="N18" s="131"/>
      <c r="O18" s="30">
        <f t="shared" si="15"/>
        <v>173288.41</v>
      </c>
      <c r="P18" s="57">
        <f t="shared" si="16"/>
        <v>1.0186096</v>
      </c>
      <c r="Q18" s="30">
        <f>ROUND(O18/P18,2)+0.01</f>
        <v>170122.51</v>
      </c>
      <c r="R18" s="22">
        <v>108</v>
      </c>
      <c r="S18" s="22">
        <v>55</v>
      </c>
      <c r="T18" s="26">
        <f t="shared" ref="T18:T21" si="38">ROUND(S18/R18*100,1)</f>
        <v>50.9</v>
      </c>
      <c r="U18" s="41">
        <f t="shared" si="17"/>
        <v>0</v>
      </c>
      <c r="V18" s="51">
        <v>6811900</v>
      </c>
      <c r="W18" s="23">
        <f t="shared" si="4"/>
        <v>16.149999999999999</v>
      </c>
      <c r="X18" s="23">
        <f t="shared" si="5"/>
        <v>68119</v>
      </c>
      <c r="Y18" s="23">
        <f t="shared" si="18"/>
        <v>17029.75</v>
      </c>
      <c r="Z18" s="23">
        <f t="shared" si="19"/>
        <v>0</v>
      </c>
      <c r="AA18" s="23">
        <f t="shared" si="6"/>
        <v>0</v>
      </c>
      <c r="AB18" s="132"/>
      <c r="AC18" s="23"/>
      <c r="AD18" s="25">
        <f t="shared" si="7"/>
        <v>0</v>
      </c>
      <c r="AE18" s="25">
        <f>ROUND(AA18*$AB$14,2)</f>
        <v>0</v>
      </c>
      <c r="AF18" s="16">
        <f>3606+1+2134+6978</f>
        <v>12719</v>
      </c>
      <c r="AG18" s="16">
        <f>2100+1117+5548</f>
        <v>8765</v>
      </c>
      <c r="AH18" s="17">
        <f t="shared" si="34"/>
        <v>68.91</v>
      </c>
      <c r="AI18" s="44">
        <f t="shared" si="21"/>
        <v>0</v>
      </c>
      <c r="AJ18" s="19">
        <v>46686049.799999997</v>
      </c>
      <c r="AK18" s="17">
        <f t="shared" si="8"/>
        <v>18.22</v>
      </c>
      <c r="AL18" s="19">
        <f t="shared" si="9"/>
        <v>466860.49799999996</v>
      </c>
      <c r="AM18" s="19">
        <f t="shared" si="22"/>
        <v>116715.12</v>
      </c>
      <c r="AN18" s="17">
        <f t="shared" si="23"/>
        <v>0</v>
      </c>
      <c r="AO18" s="17">
        <f t="shared" si="10"/>
        <v>0</v>
      </c>
      <c r="AP18" s="133"/>
      <c r="AQ18" s="19"/>
      <c r="AR18" s="20">
        <f t="shared" si="11"/>
        <v>0</v>
      </c>
      <c r="AS18" s="20">
        <f t="shared" si="24"/>
        <v>0</v>
      </c>
      <c r="AT18" s="11">
        <f t="shared" si="25"/>
        <v>380494.83999999997</v>
      </c>
      <c r="AU18" s="11">
        <f t="shared" si="26"/>
        <v>170122.51</v>
      </c>
      <c r="AV18" s="36">
        <f t="shared" si="27"/>
        <v>-210372.32999999996</v>
      </c>
    </row>
    <row r="19" spans="2:48" ht="75" x14ac:dyDescent="0.25">
      <c r="B19" s="9">
        <v>6</v>
      </c>
      <c r="C19" s="10" t="s">
        <v>30</v>
      </c>
      <c r="D19" s="27">
        <v>125</v>
      </c>
      <c r="E19" s="27">
        <v>1</v>
      </c>
      <c r="F19" s="31">
        <f t="shared" si="0"/>
        <v>0.8</v>
      </c>
      <c r="G19" s="43">
        <f t="shared" si="12"/>
        <v>0</v>
      </c>
      <c r="H19" s="50">
        <v>38352590.100000001</v>
      </c>
      <c r="I19" s="28">
        <f t="shared" si="1"/>
        <v>4.71</v>
      </c>
      <c r="J19" s="28">
        <f t="shared" si="2"/>
        <v>383525.90100000001</v>
      </c>
      <c r="K19" s="28">
        <f t="shared" si="13"/>
        <v>95881.48</v>
      </c>
      <c r="L19" s="28">
        <v>0</v>
      </c>
      <c r="M19" s="28">
        <f t="shared" si="3"/>
        <v>0</v>
      </c>
      <c r="N19" s="131"/>
      <c r="O19" s="30">
        <f t="shared" si="15"/>
        <v>0</v>
      </c>
      <c r="P19" s="57">
        <f t="shared" si="16"/>
        <v>1.0186096</v>
      </c>
      <c r="Q19" s="30">
        <f>ROUND(O19/P19,2)</f>
        <v>0</v>
      </c>
      <c r="R19" s="22">
        <v>0</v>
      </c>
      <c r="S19" s="22">
        <v>0</v>
      </c>
      <c r="T19" s="26"/>
      <c r="U19" s="41">
        <f t="shared" si="17"/>
        <v>0</v>
      </c>
      <c r="V19" s="51"/>
      <c r="W19" s="23">
        <f t="shared" si="4"/>
        <v>0</v>
      </c>
      <c r="X19" s="23">
        <f t="shared" si="5"/>
        <v>0</v>
      </c>
      <c r="Y19" s="23">
        <f t="shared" si="18"/>
        <v>0</v>
      </c>
      <c r="Z19" s="23">
        <f t="shared" si="19"/>
        <v>0</v>
      </c>
      <c r="AA19" s="23">
        <f t="shared" si="6"/>
        <v>0</v>
      </c>
      <c r="AB19" s="132"/>
      <c r="AC19" s="23"/>
      <c r="AD19" s="25">
        <f t="shared" si="7"/>
        <v>0</v>
      </c>
      <c r="AE19" s="25">
        <f t="shared" si="20"/>
        <v>0</v>
      </c>
      <c r="AF19" s="16">
        <v>7956</v>
      </c>
      <c r="AG19" s="16">
        <f>1465+3353+202</f>
        <v>5020</v>
      </c>
      <c r="AH19" s="17">
        <f t="shared" si="34"/>
        <v>63.1</v>
      </c>
      <c r="AI19" s="44">
        <f t="shared" si="21"/>
        <v>0</v>
      </c>
      <c r="AJ19" s="19">
        <v>89713504.200000003</v>
      </c>
      <c r="AK19" s="17">
        <f t="shared" si="8"/>
        <v>35.01</v>
      </c>
      <c r="AL19" s="19">
        <f t="shared" si="9"/>
        <v>897135.04200000002</v>
      </c>
      <c r="AM19" s="19">
        <f t="shared" si="22"/>
        <v>224283.76</v>
      </c>
      <c r="AN19" s="17">
        <f t="shared" si="23"/>
        <v>0</v>
      </c>
      <c r="AO19" s="17">
        <f t="shared" si="10"/>
        <v>0</v>
      </c>
      <c r="AP19" s="133"/>
      <c r="AQ19" s="19"/>
      <c r="AR19" s="20">
        <f t="shared" si="11"/>
        <v>0</v>
      </c>
      <c r="AS19" s="20">
        <f t="shared" si="24"/>
        <v>0</v>
      </c>
      <c r="AT19" s="11">
        <f t="shared" si="25"/>
        <v>320165.24</v>
      </c>
      <c r="AU19" s="11">
        <f t="shared" si="26"/>
        <v>0</v>
      </c>
      <c r="AV19" s="36">
        <f t="shared" si="27"/>
        <v>-320165.24</v>
      </c>
    </row>
    <row r="20" spans="2:48" ht="60" x14ac:dyDescent="0.25">
      <c r="B20" s="9">
        <v>7</v>
      </c>
      <c r="C20" s="10" t="s">
        <v>31</v>
      </c>
      <c r="D20" s="27">
        <v>14</v>
      </c>
      <c r="E20" s="27">
        <v>26</v>
      </c>
      <c r="F20" s="31">
        <f t="shared" si="0"/>
        <v>185.7</v>
      </c>
      <c r="G20" s="43">
        <f t="shared" si="12"/>
        <v>2</v>
      </c>
      <c r="H20" s="50">
        <v>11000355.300000001</v>
      </c>
      <c r="I20" s="28">
        <f t="shared" si="1"/>
        <v>1.35</v>
      </c>
      <c r="J20" s="28">
        <f t="shared" si="2"/>
        <v>110003.55300000001</v>
      </c>
      <c r="K20" s="28">
        <f t="shared" si="13"/>
        <v>27500.89</v>
      </c>
      <c r="L20" s="28">
        <v>0</v>
      </c>
      <c r="M20" s="28">
        <f t="shared" si="3"/>
        <v>0</v>
      </c>
      <c r="N20" s="131"/>
      <c r="O20" s="30">
        <f t="shared" si="15"/>
        <v>38603.85</v>
      </c>
      <c r="P20" s="57">
        <f t="shared" si="16"/>
        <v>1.0186096</v>
      </c>
      <c r="Q20" s="30">
        <f>ROUND(O20/P20,2)+0.01</f>
        <v>37898.58</v>
      </c>
      <c r="R20" s="22">
        <v>0</v>
      </c>
      <c r="S20" s="22">
        <v>0</v>
      </c>
      <c r="T20" s="26"/>
      <c r="U20" s="41">
        <f t="shared" si="17"/>
        <v>0</v>
      </c>
      <c r="V20" s="51"/>
      <c r="W20" s="23">
        <f t="shared" si="4"/>
        <v>0</v>
      </c>
      <c r="X20" s="23">
        <f t="shared" si="5"/>
        <v>0</v>
      </c>
      <c r="Y20" s="23">
        <f t="shared" si="18"/>
        <v>0</v>
      </c>
      <c r="Z20" s="23">
        <f t="shared" si="19"/>
        <v>0</v>
      </c>
      <c r="AA20" s="23">
        <f t="shared" si="6"/>
        <v>0</v>
      </c>
      <c r="AB20" s="132"/>
      <c r="AC20" s="23"/>
      <c r="AD20" s="25">
        <f t="shared" si="7"/>
        <v>0</v>
      </c>
      <c r="AE20" s="25">
        <f t="shared" si="20"/>
        <v>0</v>
      </c>
      <c r="AF20" s="16">
        <v>0</v>
      </c>
      <c r="AG20" s="16">
        <v>0</v>
      </c>
      <c r="AH20" s="17">
        <v>0</v>
      </c>
      <c r="AI20" s="44">
        <f t="shared" si="21"/>
        <v>0</v>
      </c>
      <c r="AJ20" s="19"/>
      <c r="AK20" s="17">
        <f t="shared" si="8"/>
        <v>0</v>
      </c>
      <c r="AL20" s="19">
        <f t="shared" si="9"/>
        <v>0</v>
      </c>
      <c r="AM20" s="19">
        <f t="shared" si="22"/>
        <v>0</v>
      </c>
      <c r="AN20" s="17">
        <f t="shared" si="23"/>
        <v>0</v>
      </c>
      <c r="AO20" s="17">
        <f t="shared" si="10"/>
        <v>0</v>
      </c>
      <c r="AP20" s="133"/>
      <c r="AQ20" s="19"/>
      <c r="AR20" s="20">
        <f t="shared" si="11"/>
        <v>0</v>
      </c>
      <c r="AS20" s="20">
        <f t="shared" si="24"/>
        <v>0</v>
      </c>
      <c r="AT20" s="11">
        <f t="shared" si="25"/>
        <v>27500.89</v>
      </c>
      <c r="AU20" s="11">
        <f t="shared" si="26"/>
        <v>37898.58</v>
      </c>
      <c r="AV20" s="36">
        <f t="shared" si="27"/>
        <v>10397.690000000002</v>
      </c>
    </row>
    <row r="21" spans="2:48" ht="60" x14ac:dyDescent="0.25">
      <c r="B21" s="9">
        <v>8</v>
      </c>
      <c r="C21" s="10" t="s">
        <v>32</v>
      </c>
      <c r="D21" s="27">
        <v>108</v>
      </c>
      <c r="E21" s="27">
        <v>114</v>
      </c>
      <c r="F21" s="31">
        <f t="shared" si="0"/>
        <v>105.6</v>
      </c>
      <c r="G21" s="43">
        <f t="shared" si="12"/>
        <v>2</v>
      </c>
      <c r="H21" s="50">
        <v>15859181</v>
      </c>
      <c r="I21" s="28">
        <f t="shared" si="1"/>
        <v>1.95</v>
      </c>
      <c r="J21" s="28">
        <f t="shared" si="2"/>
        <v>158591.81</v>
      </c>
      <c r="K21" s="28">
        <f t="shared" si="13"/>
        <v>39647.949999999997</v>
      </c>
      <c r="L21" s="28">
        <f t="shared" si="14"/>
        <v>3.9</v>
      </c>
      <c r="M21" s="28">
        <f t="shared" si="3"/>
        <v>0.27</v>
      </c>
      <c r="N21" s="131"/>
      <c r="O21" s="30">
        <f t="shared" si="15"/>
        <v>55761.120000000003</v>
      </c>
      <c r="P21" s="57">
        <f t="shared" si="16"/>
        <v>1.0186096</v>
      </c>
      <c r="Q21" s="30">
        <f>ROUND(O21/P21,2)+0.01</f>
        <v>54742.400000000001</v>
      </c>
      <c r="R21" s="22">
        <v>27</v>
      </c>
      <c r="S21" s="22">
        <v>24</v>
      </c>
      <c r="T21" s="26">
        <f t="shared" si="38"/>
        <v>88.9</v>
      </c>
      <c r="U21" s="41">
        <f t="shared" si="17"/>
        <v>1</v>
      </c>
      <c r="V21" s="51">
        <v>1614801</v>
      </c>
      <c r="W21" s="23">
        <f t="shared" si="4"/>
        <v>3.83</v>
      </c>
      <c r="X21" s="23">
        <f t="shared" si="5"/>
        <v>16148.01</v>
      </c>
      <c r="Y21" s="23">
        <f t="shared" si="18"/>
        <v>4037</v>
      </c>
      <c r="Z21" s="23">
        <f t="shared" si="19"/>
        <v>3.83</v>
      </c>
      <c r="AA21" s="23">
        <f t="shared" si="6"/>
        <v>0.18</v>
      </c>
      <c r="AB21" s="132"/>
      <c r="AC21" s="23"/>
      <c r="AD21" s="25">
        <f t="shared" si="7"/>
        <v>6367.65</v>
      </c>
      <c r="AE21" s="25">
        <f>ROUND(AA21*$AB$14,2)+0.01</f>
        <v>6327.43</v>
      </c>
      <c r="AF21" s="16">
        <v>3882</v>
      </c>
      <c r="AG21" s="16">
        <f>275+1759+537</f>
        <v>2571</v>
      </c>
      <c r="AH21" s="17">
        <f t="shared" si="34"/>
        <v>66.23</v>
      </c>
      <c r="AI21" s="44">
        <f t="shared" si="21"/>
        <v>0</v>
      </c>
      <c r="AJ21" s="19">
        <v>17928271.149999999</v>
      </c>
      <c r="AK21" s="17">
        <f t="shared" si="8"/>
        <v>7</v>
      </c>
      <c r="AL21" s="19">
        <f t="shared" si="9"/>
        <v>179282.71149999998</v>
      </c>
      <c r="AM21" s="19">
        <f t="shared" si="22"/>
        <v>44820.68</v>
      </c>
      <c r="AN21" s="17">
        <f t="shared" si="23"/>
        <v>0</v>
      </c>
      <c r="AO21" s="17">
        <f t="shared" si="10"/>
        <v>0</v>
      </c>
      <c r="AP21" s="133"/>
      <c r="AQ21" s="19"/>
      <c r="AR21" s="20">
        <f t="shared" si="11"/>
        <v>0</v>
      </c>
      <c r="AS21" s="20">
        <f t="shared" si="24"/>
        <v>0</v>
      </c>
      <c r="AT21" s="11">
        <f t="shared" si="25"/>
        <v>88505.63</v>
      </c>
      <c r="AU21" s="11">
        <f t="shared" si="26"/>
        <v>61069.83</v>
      </c>
      <c r="AV21" s="36">
        <f t="shared" si="27"/>
        <v>-27435.800000000003</v>
      </c>
    </row>
    <row r="22" spans="2:48" x14ac:dyDescent="0.25">
      <c r="B22" s="9"/>
      <c r="C22" s="10" t="s">
        <v>14</v>
      </c>
      <c r="D22" s="27">
        <f>SUM(D14:D21)</f>
        <v>1610</v>
      </c>
      <c r="E22" s="27">
        <f>SUM(E14:E21)</f>
        <v>1437</v>
      </c>
      <c r="F22" s="31">
        <f t="shared" si="0"/>
        <v>89.3</v>
      </c>
      <c r="G22" s="29">
        <f t="shared" ref="G22:L22" si="39">SUM(G14:G21)</f>
        <v>10</v>
      </c>
      <c r="H22" s="28">
        <f t="shared" si="39"/>
        <v>814398300.19999993</v>
      </c>
      <c r="I22" s="28">
        <f t="shared" si="39"/>
        <v>100</v>
      </c>
      <c r="J22" s="28">
        <f t="shared" si="39"/>
        <v>8143983.0019999994</v>
      </c>
      <c r="K22" s="28">
        <f t="shared" si="39"/>
        <v>2035995.7499999998</v>
      </c>
      <c r="L22" s="28">
        <f t="shared" si="39"/>
        <v>142.35000000000002</v>
      </c>
      <c r="M22" s="28"/>
      <c r="N22" s="31"/>
      <c r="O22" s="30">
        <f>SUM(O14:O21)</f>
        <v>2073884.7700000003</v>
      </c>
      <c r="P22" s="57"/>
      <c r="Q22" s="30">
        <f>SUM(Q14:Q21)</f>
        <v>2035995.7500000002</v>
      </c>
      <c r="R22" s="22">
        <f>SUM(R14:R21)</f>
        <v>345</v>
      </c>
      <c r="S22" s="22">
        <f>SUM(S14:S21)</f>
        <v>254</v>
      </c>
      <c r="T22" s="26">
        <f>ROUND(S22/R22*100,2)</f>
        <v>73.62</v>
      </c>
      <c r="U22" s="24">
        <f t="shared" ref="U22:Z22" si="40">SUM(U14:U21)</f>
        <v>3</v>
      </c>
      <c r="V22" s="23">
        <f t="shared" si="40"/>
        <v>42182800</v>
      </c>
      <c r="W22" s="23">
        <f t="shared" si="40"/>
        <v>100.01</v>
      </c>
      <c r="X22" s="23">
        <f t="shared" si="40"/>
        <v>421828</v>
      </c>
      <c r="Y22" s="23">
        <f t="shared" si="40"/>
        <v>105457</v>
      </c>
      <c r="Z22" s="23">
        <f t="shared" si="40"/>
        <v>63.43</v>
      </c>
      <c r="AA22" s="23"/>
      <c r="AB22" s="26"/>
      <c r="AC22" s="23"/>
      <c r="AD22" s="25">
        <f>SUM(AD14:AD21)</f>
        <v>105456.98999999999</v>
      </c>
      <c r="AE22" s="25">
        <f>SUM(AE14:AE21)</f>
        <v>105457</v>
      </c>
      <c r="AF22" s="16">
        <f>SUM(AF14:AF21)</f>
        <v>48857</v>
      </c>
      <c r="AG22" s="16">
        <f>SUM(AG14:AG21)</f>
        <v>37003</v>
      </c>
      <c r="AH22" s="17">
        <f t="shared" si="34"/>
        <v>75.739999999999995</v>
      </c>
      <c r="AI22" s="18">
        <f t="shared" ref="AI22:AN22" si="41">SUM(AI14:AI21)</f>
        <v>2</v>
      </c>
      <c r="AJ22" s="19">
        <f t="shared" si="41"/>
        <v>256262870.65000001</v>
      </c>
      <c r="AK22" s="17">
        <f t="shared" si="41"/>
        <v>100</v>
      </c>
      <c r="AL22" s="19">
        <f t="shared" si="41"/>
        <v>2562628.7065000003</v>
      </c>
      <c r="AM22" s="19">
        <f t="shared" si="41"/>
        <v>640657.17000000004</v>
      </c>
      <c r="AN22" s="17">
        <f t="shared" si="41"/>
        <v>36.659999999999997</v>
      </c>
      <c r="AO22" s="17"/>
      <c r="AP22" s="17"/>
      <c r="AQ22" s="19"/>
      <c r="AR22" s="20">
        <f>SUM(AR14:AR21)</f>
        <v>640657.18000000005</v>
      </c>
      <c r="AS22" s="20">
        <f>SUM(AS14:AS21)</f>
        <v>640657.17000000004</v>
      </c>
      <c r="AT22" s="11">
        <f>SUM(AT14:AT21)</f>
        <v>2782109.9200000004</v>
      </c>
      <c r="AU22" s="11">
        <f>SUM(AU14:AU21)</f>
        <v>2782109.92</v>
      </c>
      <c r="AV22" s="36">
        <f t="shared" si="27"/>
        <v>0</v>
      </c>
    </row>
    <row r="23" spans="2:48" hidden="1" x14ac:dyDescent="0.25">
      <c r="K23" s="6">
        <f>ROUND(J22/4,2)</f>
        <v>2035995.75</v>
      </c>
      <c r="L23" s="6">
        <f>ROUND(L22/G22,2)</f>
        <v>14.24</v>
      </c>
      <c r="N23" s="4">
        <f>L23</f>
        <v>14.24</v>
      </c>
      <c r="P23" s="55">
        <f>ROUND(O22/K22,7)</f>
        <v>1.0186096</v>
      </c>
      <c r="Q23" s="7">
        <f>K22/G22</f>
        <v>203599.57499999998</v>
      </c>
      <c r="Y23" s="6">
        <f>X22/4</f>
        <v>105457</v>
      </c>
      <c r="Z23" s="6">
        <f>Z22/U22</f>
        <v>21.143333333333334</v>
      </c>
      <c r="AB23" s="4">
        <f>Z23</f>
        <v>21.143333333333334</v>
      </c>
      <c r="AE23" s="7">
        <f>Y22/U22</f>
        <v>35152.333333333336</v>
      </c>
      <c r="AM23" s="6">
        <f>AL22/4-0.01</f>
        <v>640657.16662500007</v>
      </c>
      <c r="AN23" s="4">
        <f>AN22/AI22</f>
        <v>18.329999999999998</v>
      </c>
      <c r="AP23" s="4">
        <f>AN23</f>
        <v>18.329999999999998</v>
      </c>
      <c r="AS23" s="7">
        <f>AM22/AI22</f>
        <v>320328.58500000002</v>
      </c>
      <c r="AU23" s="35"/>
      <c r="AV23" s="37"/>
    </row>
    <row r="24" spans="2:48" x14ac:dyDescent="0.25">
      <c r="C24" s="13" t="s">
        <v>15</v>
      </c>
      <c r="AU24" s="35"/>
      <c r="AV24" s="37"/>
    </row>
    <row r="25" spans="2:48" x14ac:dyDescent="0.25">
      <c r="AM25" s="34"/>
    </row>
  </sheetData>
  <mergeCells count="51">
    <mergeCell ref="AS2:AU2"/>
    <mergeCell ref="AP3:AU3"/>
    <mergeCell ref="AP4:AU4"/>
    <mergeCell ref="AT6:AU6"/>
    <mergeCell ref="AS12:AS13"/>
    <mergeCell ref="AU11:AU13"/>
    <mergeCell ref="AV11:AV13"/>
    <mergeCell ref="N14:N21"/>
    <mergeCell ref="AB14:AB21"/>
    <mergeCell ref="AP14:AP21"/>
    <mergeCell ref="AR12:AR13"/>
    <mergeCell ref="AJ12:AJ13"/>
    <mergeCell ref="AK12:AK13"/>
    <mergeCell ref="AL12:AL13"/>
    <mergeCell ref="AM12:AM13"/>
    <mergeCell ref="AN12:AN13"/>
    <mergeCell ref="AO12:AO13"/>
    <mergeCell ref="AB12:AB13"/>
    <mergeCell ref="AC12:AC13"/>
    <mergeCell ref="AD12:AD13"/>
    <mergeCell ref="R12:T12"/>
    <mergeCell ref="AE12:AE13"/>
    <mergeCell ref="AT11:AT13"/>
    <mergeCell ref="D12:F12"/>
    <mergeCell ref="U12:U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Q12:Q13"/>
    <mergeCell ref="AI12:AI13"/>
    <mergeCell ref="V12:V13"/>
    <mergeCell ref="W12:W13"/>
    <mergeCell ref="D11:O11"/>
    <mergeCell ref="R11:AD11"/>
    <mergeCell ref="AF11:AR11"/>
    <mergeCell ref="B11:B13"/>
    <mergeCell ref="C11:C13"/>
    <mergeCell ref="X12:X13"/>
    <mergeCell ref="Y12:Y13"/>
    <mergeCell ref="Z12:Z13"/>
    <mergeCell ref="AA12:AA13"/>
    <mergeCell ref="P12:P13"/>
    <mergeCell ref="AP12:AP13"/>
    <mergeCell ref="AQ12:AQ13"/>
    <mergeCell ref="AF12:AH12"/>
  </mergeCells>
  <pageMargins left="0" right="0" top="0.15748031496062992" bottom="0" header="0.31496062992125984" footer="0.31496062992125984"/>
  <pageSetup paperSize="9" scale="31" fitToHeight="0" orientation="landscape" horizontalDpi="4294967294" verticalDpi="4294967294" r:id="rId1"/>
  <colBreaks count="2" manualBreakCount="2">
    <brk id="17" max="17" man="1"/>
    <brk id="31" max="1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 СМО</vt:lpstr>
      <vt:lpstr>свбаз расчет</vt:lpstr>
      <vt:lpstr>'по СМО'!Заголовки_для_печати</vt:lpstr>
      <vt:lpstr>'свбаз расчет'!Заголовки_для_печати</vt:lpstr>
      <vt:lpstr>'по СМО'!Область_печати</vt:lpstr>
      <vt:lpstr>'свбаз расчет'!Область_печати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Расчет критерии свб</dc:title>
  <dc:creator>Тимофеева Е.В.</dc:creator>
  <cp:keywords>Расчеты критерии свб</cp:keywords>
  <cp:lastModifiedBy>Новикова Светлана Альбертовна</cp:lastModifiedBy>
  <cp:lastPrinted>2022-01-28T09:06:40Z</cp:lastPrinted>
  <dcterms:created xsi:type="dcterms:W3CDTF">2019-06-27T12:35:57Z</dcterms:created>
  <dcterms:modified xsi:type="dcterms:W3CDTF">2022-01-28T09:17:46Z</dcterms:modified>
</cp:coreProperties>
</file>